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Truenas\lg\Content\Sangita_Dey\1. Content\1. Course\FRM P2\Performance Tracker\2024\Student Version\"/>
    </mc:Choice>
  </mc:AlternateContent>
  <xr:revisionPtr revIDLastSave="0" documentId="8_{E3DD36BC-511F-4772-9C74-2AAE8A73F732}" xr6:coauthVersionLast="47" xr6:coauthVersionMax="47" xr10:uidLastSave="{00000000-0000-0000-0000-000000000000}"/>
  <bookViews>
    <workbookView xWindow="-120" yWindow="-120" windowWidth="29040" windowHeight="1572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Progress'!$C$2:$K$3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5" i="2" l="1"/>
  <c r="AB105" i="2"/>
  <c r="AC105" i="2" s="1"/>
  <c r="AD105" i="2"/>
  <c r="AE105" i="2"/>
  <c r="AA106" i="2"/>
  <c r="AB106" i="2"/>
  <c r="AC106" i="2" s="1"/>
  <c r="AD106" i="2"/>
  <c r="AE106" i="2"/>
  <c r="AA107" i="2"/>
  <c r="AB107" i="2"/>
  <c r="AC107" i="2" s="1"/>
  <c r="AD107" i="2"/>
  <c r="AE107" i="2"/>
  <c r="AA108" i="2"/>
  <c r="AB108" i="2"/>
  <c r="AC108" i="2" s="1"/>
  <c r="AD108" i="2"/>
  <c r="AE108" i="2"/>
  <c r="AA109" i="2"/>
  <c r="AB109" i="2"/>
  <c r="AC109" i="2" s="1"/>
  <c r="AD109" i="2"/>
  <c r="AE109" i="2"/>
  <c r="AA110" i="2"/>
  <c r="AB110" i="2"/>
  <c r="AC110" i="2" s="1"/>
  <c r="AD110" i="2"/>
  <c r="AE110" i="2"/>
  <c r="AA111" i="2"/>
  <c r="AB111" i="2"/>
  <c r="AC111" i="2" s="1"/>
  <c r="AD111" i="2"/>
  <c r="AE111" i="2"/>
  <c r="F105" i="2"/>
  <c r="F106" i="2"/>
  <c r="F107" i="2"/>
  <c r="F108" i="2"/>
  <c r="F109" i="2"/>
  <c r="F110" i="2"/>
  <c r="F111" i="2"/>
  <c r="AA92" i="2"/>
  <c r="AA66" i="2"/>
  <c r="AA99" i="2"/>
  <c r="AA75" i="2"/>
  <c r="AA94" i="2"/>
  <c r="AA95" i="2"/>
  <c r="AA102" i="2"/>
  <c r="AA103" i="2"/>
  <c r="AA104" i="2"/>
  <c r="AA56" i="2"/>
  <c r="AA57" i="2"/>
  <c r="AA58" i="2"/>
  <c r="AA98" i="2"/>
  <c r="AA90" i="2"/>
  <c r="AA91" i="2"/>
  <c r="AA97" i="2"/>
  <c r="AA93" i="2"/>
  <c r="AA100" i="2"/>
  <c r="AA101" i="2"/>
  <c r="AA96" i="2"/>
  <c r="AA53" i="2"/>
  <c r="AA54" i="2"/>
  <c r="AA55" i="2"/>
  <c r="AA79" i="2"/>
  <c r="AA80" i="2"/>
  <c r="AA81" i="2"/>
  <c r="AA82" i="2"/>
  <c r="AA83" i="2"/>
  <c r="AA84" i="2"/>
  <c r="AA85" i="2"/>
  <c r="AA86" i="2"/>
  <c r="AA87" i="2"/>
  <c r="AA88" i="2"/>
  <c r="AA89" i="2"/>
  <c r="AA45" i="2"/>
  <c r="AA46" i="2"/>
  <c r="AA9" i="2"/>
  <c r="AA10" i="2"/>
  <c r="AA11" i="2"/>
  <c r="AA14" i="2"/>
  <c r="AA15" i="2"/>
  <c r="AA19" i="2"/>
  <c r="AA20" i="2"/>
  <c r="AA33" i="2"/>
  <c r="AA26" i="2"/>
  <c r="AA27" i="2"/>
  <c r="AA28" i="2"/>
  <c r="AA36" i="2"/>
  <c r="AA12" i="2"/>
  <c r="AA13"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9" i="2"/>
  <c r="B5" i="5"/>
  <c r="G34" i="5"/>
  <c r="L34" i="5" s="1"/>
  <c r="G35" i="5"/>
  <c r="L35" i="5" s="1"/>
  <c r="G36" i="5"/>
  <c r="L36" i="5" s="1"/>
  <c r="G37" i="5"/>
  <c r="L37" i="5" s="1"/>
  <c r="G38" i="5"/>
  <c r="G33" i="5"/>
  <c r="L33" i="5" s="1"/>
  <c r="G32" i="5"/>
  <c r="R4" i="2"/>
  <c r="S86" i="2" s="1"/>
  <c r="F9" i="2"/>
  <c r="F10" i="2"/>
  <c r="F11" i="2"/>
  <c r="F12" i="2"/>
  <c r="F13" i="2"/>
  <c r="F14" i="2"/>
  <c r="F15" i="2"/>
  <c r="F16" i="2"/>
  <c r="F17" i="2"/>
  <c r="F18" i="2"/>
  <c r="F19" i="2"/>
  <c r="F20" i="2"/>
  <c r="F21" i="2"/>
  <c r="F22" i="2"/>
  <c r="F23" i="2"/>
  <c r="F24" i="2"/>
  <c r="F25" i="2"/>
  <c r="F29" i="2"/>
  <c r="F30" i="2"/>
  <c r="F31" i="2"/>
  <c r="F32" i="2"/>
  <c r="F33" i="2"/>
  <c r="F26" i="2"/>
  <c r="F27" i="2"/>
  <c r="F28" i="2"/>
  <c r="F36" i="2"/>
  <c r="F37" i="2"/>
  <c r="F34" i="2"/>
  <c r="F35" i="2"/>
  <c r="F38" i="2"/>
  <c r="F39" i="2"/>
  <c r="F40" i="2"/>
  <c r="F41" i="2"/>
  <c r="F42" i="2"/>
  <c r="F43" i="2"/>
  <c r="F44" i="2"/>
  <c r="F45" i="2"/>
  <c r="F49" i="2"/>
  <c r="F50" i="2"/>
  <c r="F51" i="2"/>
  <c r="F52" i="2"/>
  <c r="F59" i="2"/>
  <c r="F60" i="2"/>
  <c r="F61" i="2"/>
  <c r="F62" i="2"/>
  <c r="F46" i="2"/>
  <c r="F47" i="2"/>
  <c r="F48" i="2"/>
  <c r="F63" i="2"/>
  <c r="F64" i="2"/>
  <c r="F65" i="2"/>
  <c r="F67" i="2"/>
  <c r="F68" i="2"/>
  <c r="F69" i="2"/>
  <c r="F70" i="2"/>
  <c r="F71" i="2"/>
  <c r="F72" i="2"/>
  <c r="F73" i="2"/>
  <c r="F74" i="2"/>
  <c r="F76" i="2"/>
  <c r="F77" i="2"/>
  <c r="F78" i="2"/>
  <c r="F79" i="2"/>
  <c r="F80" i="2"/>
  <c r="F81" i="2"/>
  <c r="F82" i="2"/>
  <c r="F83" i="2"/>
  <c r="F84" i="2"/>
  <c r="F85" i="2"/>
  <c r="F86" i="2"/>
  <c r="F87" i="2"/>
  <c r="F88" i="2"/>
  <c r="F89" i="2"/>
  <c r="F90" i="2"/>
  <c r="F91" i="2"/>
  <c r="F97" i="2"/>
  <c r="F93" i="2"/>
  <c r="F100" i="2"/>
  <c r="F101" i="2"/>
  <c r="F96" i="2"/>
  <c r="F53" i="2"/>
  <c r="F54" i="2"/>
  <c r="F55" i="2"/>
  <c r="F56" i="2"/>
  <c r="F57" i="2"/>
  <c r="F58" i="2"/>
  <c r="F98" i="2"/>
  <c r="F92" i="2"/>
  <c r="F66" i="2"/>
  <c r="F99" i="2"/>
  <c r="F75" i="2"/>
  <c r="F94" i="2"/>
  <c r="F95" i="2"/>
  <c r="F102" i="2"/>
  <c r="F103" i="2"/>
  <c r="F104" i="2"/>
  <c r="R5" i="2"/>
  <c r="D54" i="8" s="1"/>
  <c r="C10" i="8"/>
  <c r="C11" i="8" s="1"/>
  <c r="AB92" i="2"/>
  <c r="AC92" i="2" s="1"/>
  <c r="AB66" i="2"/>
  <c r="AC66" i="2" s="1"/>
  <c r="AB99" i="2"/>
  <c r="AC99" i="2" s="1"/>
  <c r="AB75" i="2"/>
  <c r="AC75" i="2" s="1"/>
  <c r="AB94" i="2"/>
  <c r="AC94" i="2" s="1"/>
  <c r="AB95" i="2"/>
  <c r="AC95" i="2" s="1"/>
  <c r="AB102" i="2"/>
  <c r="AC102" i="2" s="1"/>
  <c r="AB103" i="2"/>
  <c r="AC103" i="2" s="1"/>
  <c r="AB104" i="2"/>
  <c r="AC104" i="2" s="1"/>
  <c r="AB56" i="2"/>
  <c r="AC56" i="2" s="1"/>
  <c r="AB57" i="2"/>
  <c r="AC57" i="2" s="1"/>
  <c r="AB58" i="2"/>
  <c r="AC58" i="2" s="1"/>
  <c r="AB98" i="2"/>
  <c r="AC98" i="2" s="1"/>
  <c r="AB90" i="2"/>
  <c r="AC90" i="2" s="1"/>
  <c r="AB91" i="2"/>
  <c r="AC91" i="2" s="1"/>
  <c r="AB97" i="2"/>
  <c r="AC97" i="2" s="1"/>
  <c r="AB93" i="2"/>
  <c r="AC93" i="2" s="1"/>
  <c r="AB100" i="2"/>
  <c r="AC100" i="2" s="1"/>
  <c r="AB101" i="2"/>
  <c r="AC101" i="2" s="1"/>
  <c r="AB96" i="2"/>
  <c r="AC96" i="2" s="1"/>
  <c r="AB53" i="2"/>
  <c r="AC53" i="2" s="1"/>
  <c r="AB54" i="2"/>
  <c r="AC54" i="2" s="1"/>
  <c r="AB55" i="2"/>
  <c r="AC55" i="2" s="1"/>
  <c r="F16" i="8"/>
  <c r="F21" i="8"/>
  <c r="D16" i="8"/>
  <c r="D22" i="8" s="1"/>
  <c r="D21" i="8"/>
  <c r="D18" i="8"/>
  <c r="T4" i="2"/>
  <c r="C16" i="8" s="1"/>
  <c r="C22" i="8" s="1"/>
  <c r="C18" i="8"/>
  <c r="C17" i="8" s="1"/>
  <c r="C19" i="8"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A16" i="2"/>
  <c r="AA17" i="2"/>
  <c r="AA18" i="2"/>
  <c r="AA32" i="2"/>
  <c r="AA21" i="2"/>
  <c r="AA22" i="2"/>
  <c r="AA37" i="2"/>
  <c r="AA24" i="2"/>
  <c r="AA25" i="2"/>
  <c r="AA29" i="2"/>
  <c r="AA30" i="2"/>
  <c r="AA31" i="2"/>
  <c r="AA34" i="2"/>
  <c r="AA39" i="2"/>
  <c r="AA40" i="2"/>
  <c r="AA41" i="2"/>
  <c r="AA42" i="2"/>
  <c r="AA35" i="2"/>
  <c r="AA38" i="2"/>
  <c r="AA23" i="2"/>
  <c r="AA43" i="2"/>
  <c r="AA44" i="2"/>
  <c r="AA49" i="2"/>
  <c r="AA59" i="2"/>
  <c r="AA50" i="2"/>
  <c r="AA62" i="2"/>
  <c r="AA47" i="2"/>
  <c r="AA51" i="2"/>
  <c r="AA60" i="2"/>
  <c r="AA63" i="2"/>
  <c r="AA64" i="2"/>
  <c r="AA69" i="2"/>
  <c r="AA65" i="2"/>
  <c r="AA67" i="2"/>
  <c r="AA68" i="2"/>
  <c r="AA70" i="2"/>
  <c r="AA71" i="2"/>
  <c r="AA72" i="2"/>
  <c r="AA73" i="2"/>
  <c r="AA74" i="2"/>
  <c r="AA76" i="2"/>
  <c r="AA77" i="2"/>
  <c r="AA78" i="2"/>
  <c r="AA61" i="2"/>
  <c r="AA52" i="2"/>
  <c r="AA48" i="2"/>
  <c r="AB45" i="2"/>
  <c r="AC45" i="2" s="1"/>
  <c r="AB46" i="2"/>
  <c r="AC46" i="2" s="1"/>
  <c r="F13" i="1"/>
  <c r="D47" i="8"/>
  <c r="K38" i="5"/>
  <c r="I38" i="5"/>
  <c r="Q38" i="5" s="1"/>
  <c r="H38" i="5"/>
  <c r="F38" i="5"/>
  <c r="N38" i="5" s="1"/>
  <c r="E38" i="5"/>
  <c r="D38" i="5"/>
  <c r="K37" i="5"/>
  <c r="I37" i="5"/>
  <c r="Q37" i="5" s="1"/>
  <c r="H37" i="5"/>
  <c r="F37" i="5"/>
  <c r="N37" i="5" s="1"/>
  <c r="E37" i="5"/>
  <c r="D37" i="5"/>
  <c r="K36" i="5"/>
  <c r="I36" i="5"/>
  <c r="Q36" i="5" s="1"/>
  <c r="H36" i="5"/>
  <c r="F36" i="5"/>
  <c r="N36" i="5" s="1"/>
  <c r="E36" i="5"/>
  <c r="D36" i="5"/>
  <c r="K35" i="5"/>
  <c r="I35" i="5"/>
  <c r="Q35" i="5" s="1"/>
  <c r="H35" i="5"/>
  <c r="F35" i="5"/>
  <c r="N35" i="5" s="1"/>
  <c r="E35" i="5"/>
  <c r="D35" i="5"/>
  <c r="K34" i="5"/>
  <c r="I34" i="5"/>
  <c r="Q34" i="5" s="1"/>
  <c r="H34" i="5"/>
  <c r="F34" i="5"/>
  <c r="N34" i="5" s="1"/>
  <c r="E34" i="5"/>
  <c r="D34" i="5"/>
  <c r="K33" i="5"/>
  <c r="I33" i="5"/>
  <c r="H33" i="5"/>
  <c r="F33" i="5"/>
  <c r="E33" i="5"/>
  <c r="D33" i="5"/>
  <c r="I32" i="5"/>
  <c r="H32" i="5"/>
  <c r="E7" i="8"/>
  <c r="F7" i="8" s="1"/>
  <c r="E4" i="8"/>
  <c r="G3" i="8"/>
  <c r="E3" i="8"/>
  <c r="K3" i="8"/>
  <c r="AB9" i="2"/>
  <c r="AC9" i="2" s="1"/>
  <c r="AB10" i="2"/>
  <c r="AC10" i="2" s="1"/>
  <c r="AB11" i="2"/>
  <c r="AC11" i="2" s="1"/>
  <c r="AB14" i="2"/>
  <c r="AC14" i="2" s="1"/>
  <c r="AB15" i="2"/>
  <c r="AC15" i="2" s="1"/>
  <c r="AB19" i="2"/>
  <c r="AC19" i="2" s="1"/>
  <c r="AB20" i="2"/>
  <c r="AC20" i="2" s="1"/>
  <c r="AB33" i="2"/>
  <c r="AC33" i="2" s="1"/>
  <c r="AB26" i="2"/>
  <c r="AC26" i="2" s="1"/>
  <c r="AB27" i="2"/>
  <c r="AC27" i="2" s="1"/>
  <c r="AB28" i="2"/>
  <c r="AC28" i="2" s="1"/>
  <c r="AB36" i="2"/>
  <c r="AC36" i="2" s="1"/>
  <c r="AB12" i="2"/>
  <c r="AC12" i="2" s="1"/>
  <c r="AB13" i="2"/>
  <c r="AC13" i="2" s="1"/>
  <c r="AB16" i="2"/>
  <c r="AC16" i="2" s="1"/>
  <c r="AB17" i="2"/>
  <c r="AC17" i="2" s="1"/>
  <c r="AB18" i="2"/>
  <c r="AC18" i="2" s="1"/>
  <c r="AB32" i="2"/>
  <c r="AC32" i="2" s="1"/>
  <c r="AB21" i="2"/>
  <c r="AC21" i="2" s="1"/>
  <c r="AB22" i="2"/>
  <c r="AC22" i="2" s="1"/>
  <c r="AB37" i="2"/>
  <c r="AC37" i="2" s="1"/>
  <c r="AB24" i="2"/>
  <c r="AC24" i="2" s="1"/>
  <c r="AB25" i="2"/>
  <c r="AC25" i="2" s="1"/>
  <c r="AB29" i="2"/>
  <c r="AC29" i="2" s="1"/>
  <c r="AB30" i="2"/>
  <c r="AC30" i="2" s="1"/>
  <c r="AB31" i="2"/>
  <c r="AC31" i="2" s="1"/>
  <c r="AB34" i="2"/>
  <c r="AC34" i="2" s="1"/>
  <c r="AB39" i="2"/>
  <c r="AC39" i="2" s="1"/>
  <c r="AB40" i="2"/>
  <c r="AC40" i="2" s="1"/>
  <c r="AB41" i="2"/>
  <c r="AC41" i="2" s="1"/>
  <c r="AB42" i="2"/>
  <c r="AC42" i="2" s="1"/>
  <c r="AB35" i="2"/>
  <c r="AC35" i="2" s="1"/>
  <c r="AB38" i="2"/>
  <c r="AC38" i="2" s="1"/>
  <c r="AB23" i="2"/>
  <c r="AC23" i="2" s="1"/>
  <c r="AB43" i="2"/>
  <c r="AC43" i="2" s="1"/>
  <c r="AB44" i="2"/>
  <c r="AC44" i="2" s="1"/>
  <c r="AB49" i="2"/>
  <c r="AC49" i="2" s="1"/>
  <c r="AB59" i="2"/>
  <c r="AC59" i="2" s="1"/>
  <c r="AB50" i="2"/>
  <c r="AC50" i="2" s="1"/>
  <c r="AB62" i="2"/>
  <c r="AC62" i="2" s="1"/>
  <c r="AB47" i="2"/>
  <c r="AC47" i="2" s="1"/>
  <c r="AB51" i="2"/>
  <c r="AC51" i="2" s="1"/>
  <c r="AB60" i="2"/>
  <c r="AC60" i="2" s="1"/>
  <c r="AB63" i="2"/>
  <c r="AC63" i="2" s="1"/>
  <c r="AB64" i="2"/>
  <c r="AC64" i="2" s="1"/>
  <c r="AB69" i="2"/>
  <c r="AC69" i="2" s="1"/>
  <c r="AB65" i="2"/>
  <c r="AC65" i="2" s="1"/>
  <c r="AB67" i="2"/>
  <c r="AC67" i="2" s="1"/>
  <c r="AB68" i="2"/>
  <c r="AC68" i="2" s="1"/>
  <c r="AB70" i="2"/>
  <c r="AC70" i="2" s="1"/>
  <c r="AB71" i="2"/>
  <c r="AC71" i="2" s="1"/>
  <c r="AB72" i="2"/>
  <c r="AC72" i="2" s="1"/>
  <c r="AB73" i="2"/>
  <c r="AC73" i="2" s="1"/>
  <c r="AB74" i="2"/>
  <c r="AC74" i="2" s="1"/>
  <c r="AB76" i="2"/>
  <c r="AC76" i="2" s="1"/>
  <c r="AB77" i="2"/>
  <c r="AC77" i="2" s="1"/>
  <c r="AB78" i="2"/>
  <c r="AC78" i="2" s="1"/>
  <c r="AB61" i="2"/>
  <c r="AC61" i="2" s="1"/>
  <c r="AB52" i="2"/>
  <c r="AC52" i="2" s="1"/>
  <c r="AB48" i="2"/>
  <c r="AC48" i="2" s="1"/>
  <c r="J39" i="5"/>
  <c r="Y2" i="2"/>
  <c r="R6" i="2"/>
  <c r="K6" i="2"/>
  <c r="Q6" i="2"/>
  <c r="P6" i="2"/>
  <c r="O6" i="2"/>
  <c r="N6" i="2"/>
  <c r="M6" i="2"/>
  <c r="L6" i="2"/>
  <c r="U38" i="5"/>
  <c r="U37" i="5"/>
  <c r="U36" i="5"/>
  <c r="U35" i="5"/>
  <c r="U34" i="5"/>
  <c r="U33" i="5"/>
  <c r="X4" i="2"/>
  <c r="W4" i="2"/>
  <c r="V4" i="2"/>
  <c r="U4" i="2"/>
  <c r="U5" i="2"/>
  <c r="D61" i="8" s="1"/>
  <c r="V5" i="2"/>
  <c r="W5" i="2"/>
  <c r="X5" i="2"/>
  <c r="T5" i="2"/>
  <c r="S109" i="2" l="1"/>
  <c r="S105" i="2"/>
  <c r="S108" i="2"/>
  <c r="S104" i="2"/>
  <c r="S14" i="2"/>
  <c r="S111" i="2"/>
  <c r="S107" i="2"/>
  <c r="S103" i="2"/>
  <c r="S110" i="2"/>
  <c r="S106" i="2"/>
  <c r="S45" i="2"/>
  <c r="S48" i="2"/>
  <c r="E107" i="2"/>
  <c r="E110" i="2"/>
  <c r="E106" i="2"/>
  <c r="E109" i="2"/>
  <c r="E105" i="2"/>
  <c r="E104" i="2"/>
  <c r="E108" i="2"/>
  <c r="E111" i="2"/>
  <c r="K7" i="8"/>
  <c r="I7" i="8"/>
  <c r="I3" i="8"/>
  <c r="E6" i="8"/>
  <c r="S79" i="2"/>
  <c r="D51" i="8"/>
  <c r="C51" i="8" s="1"/>
  <c r="C4" i="8"/>
  <c r="S9" i="2"/>
  <c r="S52" i="2"/>
  <c r="O38" i="5"/>
  <c r="S41" i="2"/>
  <c r="S43" i="2"/>
  <c r="S35" i="2"/>
  <c r="S47" i="2"/>
  <c r="S18" i="2"/>
  <c r="D65" i="8"/>
  <c r="C65" i="8" s="1"/>
  <c r="S13" i="2"/>
  <c r="S21" i="2"/>
  <c r="S69" i="2"/>
  <c r="S44" i="2"/>
  <c r="F4" i="8"/>
  <c r="I4" i="8" s="1"/>
  <c r="E10" i="2"/>
  <c r="S31" i="2"/>
  <c r="S26" i="2"/>
  <c r="S83" i="2"/>
  <c r="E9" i="2"/>
  <c r="E11" i="2"/>
  <c r="S19" i="2"/>
  <c r="S17" i="2"/>
  <c r="S49" i="2"/>
  <c r="S36" i="2"/>
  <c r="S82" i="2"/>
  <c r="S32" i="2"/>
  <c r="S25" i="2"/>
  <c r="S71" i="2"/>
  <c r="S85" i="2"/>
  <c r="S20" i="2"/>
  <c r="S67" i="2"/>
  <c r="S40" i="2"/>
  <c r="S68" i="2"/>
  <c r="S16" i="2"/>
  <c r="S76" i="2"/>
  <c r="S33" i="2"/>
  <c r="S27" i="2"/>
  <c r="S81" i="2"/>
  <c r="S78" i="2"/>
  <c r="S100" i="2"/>
  <c r="S77" i="2"/>
  <c r="S30" i="2"/>
  <c r="S37" i="2"/>
  <c r="S73" i="2"/>
  <c r="S70" i="2"/>
  <c r="S50" i="2"/>
  <c r="S74" i="2"/>
  <c r="S28" i="2"/>
  <c r="S84" i="2"/>
  <c r="S24" i="2"/>
  <c r="S10" i="2"/>
  <c r="S12" i="2"/>
  <c r="S11" i="2"/>
  <c r="C3" i="8"/>
  <c r="S80" i="2"/>
  <c r="S72" i="2"/>
  <c r="S34" i="2"/>
  <c r="S59" i="2"/>
  <c r="S63" i="2"/>
  <c r="S15" i="2"/>
  <c r="S22" i="2"/>
  <c r="S64" i="2"/>
  <c r="S65" i="2"/>
  <c r="S29" i="2"/>
  <c r="S61" i="2"/>
  <c r="D58" i="8"/>
  <c r="C54" i="8" s="1"/>
  <c r="E54" i="8" s="1"/>
  <c r="S87" i="2"/>
  <c r="S39" i="2"/>
  <c r="S51" i="2"/>
  <c r="S38" i="2"/>
  <c r="S62" i="2"/>
  <c r="S60" i="2"/>
  <c r="S23" i="2"/>
  <c r="S42" i="2"/>
  <c r="S46" i="2"/>
  <c r="J38" i="5"/>
  <c r="AD38" i="5" s="1"/>
  <c r="G16" i="8"/>
  <c r="X37" i="5"/>
  <c r="X33" i="5"/>
  <c r="E40" i="2"/>
  <c r="V36" i="5"/>
  <c r="V33" i="5"/>
  <c r="AB37" i="5"/>
  <c r="R37" i="5"/>
  <c r="O35" i="5"/>
  <c r="M37" i="5"/>
  <c r="V35" i="5"/>
  <c r="P35" i="5"/>
  <c r="Z36" i="5"/>
  <c r="G39" i="5"/>
  <c r="X35" i="5"/>
  <c r="Z35" i="5"/>
  <c r="P36" i="5"/>
  <c r="E71" i="2"/>
  <c r="M36" i="5"/>
  <c r="X36" i="5"/>
  <c r="Z33" i="5"/>
  <c r="Z34" i="5"/>
  <c r="Z37" i="5"/>
  <c r="Z38" i="5"/>
  <c r="S101" i="2"/>
  <c r="S98" i="2"/>
  <c r="S96" i="2"/>
  <c r="S92" i="2"/>
  <c r="S53" i="2"/>
  <c r="S66" i="2"/>
  <c r="S95" i="2"/>
  <c r="S54" i="2"/>
  <c r="S99" i="2"/>
  <c r="S57" i="2"/>
  <c r="S55" i="2"/>
  <c r="S75" i="2"/>
  <c r="S94" i="2"/>
  <c r="S58" i="2"/>
  <c r="S56" i="2"/>
  <c r="S102" i="2"/>
  <c r="AB35" i="5"/>
  <c r="R35" i="5"/>
  <c r="M34" i="5"/>
  <c r="O34" i="5"/>
  <c r="P37" i="5"/>
  <c r="M35" i="5"/>
  <c r="P33" i="5"/>
  <c r="E21" i="2"/>
  <c r="E83" i="2"/>
  <c r="V34" i="5"/>
  <c r="X34" i="5"/>
  <c r="V38" i="5"/>
  <c r="P38" i="5"/>
  <c r="E33" i="2"/>
  <c r="P34" i="5"/>
  <c r="E27" i="2"/>
  <c r="E62" i="2"/>
  <c r="E51" i="2"/>
  <c r="E64" i="2"/>
  <c r="E85" i="2"/>
  <c r="R38" i="5"/>
  <c r="AB38" i="5"/>
  <c r="M33" i="5"/>
  <c r="O37" i="5"/>
  <c r="O33" i="5"/>
  <c r="V37" i="5"/>
  <c r="S5" i="2"/>
  <c r="N33" i="5"/>
  <c r="E19" i="2"/>
  <c r="E59" i="2"/>
  <c r="E30" i="2"/>
  <c r="E16" i="2"/>
  <c r="E65" i="2"/>
  <c r="E14" i="2"/>
  <c r="E44" i="2"/>
  <c r="E49" i="2"/>
  <c r="E82" i="2"/>
  <c r="E79" i="2"/>
  <c r="E58" i="2"/>
  <c r="E102" i="2"/>
  <c r="E13" i="2"/>
  <c r="E69" i="2"/>
  <c r="E47" i="2"/>
  <c r="E25" i="2"/>
  <c r="E76" i="2"/>
  <c r="E36" i="2"/>
  <c r="E63" i="2"/>
  <c r="L38" i="5"/>
  <c r="E81" i="2"/>
  <c r="E101" i="2"/>
  <c r="E32" i="2"/>
  <c r="E70" i="2"/>
  <c r="E73" i="2"/>
  <c r="E34" i="2"/>
  <c r="E52" i="2"/>
  <c r="E17" i="2"/>
  <c r="E67" i="2"/>
  <c r="E45" i="2"/>
  <c r="E88" i="2"/>
  <c r="E24" i="2"/>
  <c r="E74" i="2"/>
  <c r="E78" i="2"/>
  <c r="E42" i="2"/>
  <c r="E15" i="2"/>
  <c r="E22" i="2"/>
  <c r="E72" i="2"/>
  <c r="E84" i="2"/>
  <c r="E31" i="2"/>
  <c r="E61" i="2"/>
  <c r="E43" i="2"/>
  <c r="E18" i="2"/>
  <c r="E29" i="2"/>
  <c r="E77" i="2"/>
  <c r="E48" i="2"/>
  <c r="E80" i="2"/>
  <c r="E41" i="2"/>
  <c r="E20" i="2"/>
  <c r="E50" i="2"/>
  <c r="E38" i="2"/>
  <c r="E39" i="2"/>
  <c r="E26" i="2"/>
  <c r="E46" i="2"/>
  <c r="E87" i="2"/>
  <c r="E23" i="2"/>
  <c r="E12" i="2"/>
  <c r="E28" i="2"/>
  <c r="E60" i="2"/>
  <c r="E68" i="2"/>
  <c r="E35" i="2"/>
  <c r="E37" i="2"/>
  <c r="E86" i="2"/>
  <c r="D39" i="5"/>
  <c r="F39" i="5"/>
  <c r="R34" i="5"/>
  <c r="AB34" i="5"/>
  <c r="J37" i="5"/>
  <c r="AD37" i="5" s="1"/>
  <c r="E56" i="2"/>
  <c r="I39" i="5"/>
  <c r="G21" i="8"/>
  <c r="Y5" i="2"/>
  <c r="H39" i="5"/>
  <c r="K39" i="5"/>
  <c r="E53" i="2"/>
  <c r="C21" i="8"/>
  <c r="C31" i="8" s="1"/>
  <c r="M30" i="10" s="1"/>
  <c r="E91" i="2"/>
  <c r="E92" i="2"/>
  <c r="S88" i="2"/>
  <c r="E39" i="5"/>
  <c r="E100" i="2"/>
  <c r="D20" i="8"/>
  <c r="D68" i="8" s="1"/>
  <c r="C12" i="8"/>
  <c r="C39" i="8"/>
  <c r="E98" i="2"/>
  <c r="J35" i="5"/>
  <c r="AD35" i="5" s="1"/>
  <c r="R36" i="5"/>
  <c r="AB36" i="5"/>
  <c r="J33" i="5"/>
  <c r="AD33" i="5" s="1"/>
  <c r="J34" i="5"/>
  <c r="AD34" i="5" s="1"/>
  <c r="J36" i="5"/>
  <c r="AD36" i="5" s="1"/>
  <c r="E75" i="2"/>
  <c r="S91" i="2"/>
  <c r="E93" i="2"/>
  <c r="E99" i="2"/>
  <c r="S90" i="2"/>
  <c r="F22" i="8"/>
  <c r="E97" i="2"/>
  <c r="E66" i="2"/>
  <c r="S89" i="2"/>
  <c r="E55" i="2"/>
  <c r="Q33" i="5"/>
  <c r="E54" i="2"/>
  <c r="E90" i="2"/>
  <c r="E103" i="2"/>
  <c r="E89" i="2"/>
  <c r="O36" i="5"/>
  <c r="E96" i="2"/>
  <c r="E57" i="2"/>
  <c r="E95" i="2"/>
  <c r="S93" i="2"/>
  <c r="D32" i="8"/>
  <c r="Q29" i="10" s="1"/>
  <c r="E94" i="2"/>
  <c r="S97" i="2"/>
  <c r="D49" i="8"/>
  <c r="D48" i="8"/>
  <c r="J4" i="8"/>
  <c r="K4" i="8"/>
  <c r="C29" i="8"/>
  <c r="I30" i="10" s="1"/>
  <c r="E22" i="8"/>
  <c r="D63" i="8"/>
  <c r="D62" i="8"/>
  <c r="C27" i="8"/>
  <c r="O30" i="10" s="1"/>
  <c r="C32" i="8"/>
  <c r="Q30" i="10" s="1"/>
  <c r="D29" i="8"/>
  <c r="C24" i="8"/>
  <c r="G30" i="10" s="1"/>
  <c r="F18" i="8"/>
  <c r="E16" i="8"/>
  <c r="D31" i="8"/>
  <c r="D17" i="8"/>
  <c r="H4" i="8" l="1"/>
  <c r="C47" i="8"/>
  <c r="E47" i="8" s="1"/>
  <c r="C5" i="8"/>
  <c r="C6" i="8" s="1"/>
  <c r="J7" i="8"/>
  <c r="E5" i="8"/>
  <c r="K6" i="8"/>
  <c r="C48" i="8"/>
  <c r="E48" i="8" s="1"/>
  <c r="F6" i="8"/>
  <c r="I6" i="8" s="1"/>
  <c r="H7" i="8" s="1"/>
  <c r="G7" i="8" s="1"/>
  <c r="D50" i="8"/>
  <c r="C50" i="8" s="1"/>
  <c r="E50" i="8" s="1"/>
  <c r="C61" i="8"/>
  <c r="E61" i="8" s="1"/>
  <c r="C62" i="8"/>
  <c r="E62" i="8" s="1"/>
  <c r="D72" i="8"/>
  <c r="C72" i="8" s="1"/>
  <c r="C58" i="8"/>
  <c r="O39" i="5"/>
  <c r="X38" i="5"/>
  <c r="M38" i="5"/>
  <c r="E21" i="8"/>
  <c r="C26" i="8"/>
  <c r="C25" i="8" s="1"/>
  <c r="D56" i="8"/>
  <c r="D57" i="8" s="1"/>
  <c r="C57" i="8" s="1"/>
  <c r="E57" i="8" s="1"/>
  <c r="D55" i="8"/>
  <c r="C55" i="8" s="1"/>
  <c r="E55" i="8" s="1"/>
  <c r="C20" i="8"/>
  <c r="E20" i="8" s="1"/>
  <c r="G22" i="8"/>
  <c r="C40" i="8"/>
  <c r="C41" i="8" s="1"/>
  <c r="F20" i="8"/>
  <c r="G20" i="8" s="1"/>
  <c r="AB33" i="5"/>
  <c r="R33" i="5"/>
  <c r="C49" i="8"/>
  <c r="E49" i="8" s="1"/>
  <c r="U30" i="10"/>
  <c r="F31" i="8"/>
  <c r="F29" i="8"/>
  <c r="F32" i="8"/>
  <c r="F17" i="8"/>
  <c r="C63" i="8"/>
  <c r="E63" i="8" s="1"/>
  <c r="D64" i="8"/>
  <c r="C64" i="8" s="1"/>
  <c r="E64" i="8" s="1"/>
  <c r="E29" i="8"/>
  <c r="I29" i="10"/>
  <c r="C30" i="8"/>
  <c r="D27" i="8"/>
  <c r="D24" i="8"/>
  <c r="D26" i="8"/>
  <c r="D19" i="8"/>
  <c r="E31" i="8"/>
  <c r="D30" i="8"/>
  <c r="M29" i="10"/>
  <c r="U29" i="10" s="1"/>
  <c r="E32" i="8"/>
  <c r="G4" i="8"/>
  <c r="K5" i="8" l="1"/>
  <c r="J6" i="8"/>
  <c r="F5" i="8"/>
  <c r="I5" i="8" s="1"/>
  <c r="J5" i="8"/>
  <c r="C68" i="8"/>
  <c r="E68" i="8" s="1"/>
  <c r="K30" i="10"/>
  <c r="S30" i="10" s="1"/>
  <c r="C56" i="8"/>
  <c r="E56" i="8" s="1"/>
  <c r="D70" i="8"/>
  <c r="C70" i="8" s="1"/>
  <c r="E70" i="8" s="1"/>
  <c r="D69" i="8"/>
  <c r="C69" i="8" s="1"/>
  <c r="E69" i="8" s="1"/>
  <c r="E30" i="8"/>
  <c r="C8" i="8"/>
  <c r="F26" i="8"/>
  <c r="F27" i="8"/>
  <c r="C42" i="8"/>
  <c r="F19" i="8"/>
  <c r="F24" i="8"/>
  <c r="G32" i="8"/>
  <c r="Q32" i="10"/>
  <c r="G29" i="10"/>
  <c r="E24" i="8"/>
  <c r="G31" i="10" s="1"/>
  <c r="I32" i="10"/>
  <c r="G29" i="8"/>
  <c r="E26" i="8"/>
  <c r="K31" i="10" s="1"/>
  <c r="D25" i="8"/>
  <c r="E25" i="8" s="1"/>
  <c r="S31" i="10" s="1"/>
  <c r="K29" i="10"/>
  <c r="E27" i="8"/>
  <c r="O31" i="10" s="1"/>
  <c r="O29" i="10"/>
  <c r="F30" i="8"/>
  <c r="G30" i="8" s="1"/>
  <c r="M32" i="10"/>
  <c r="G31" i="8"/>
  <c r="D106" i="2" l="1"/>
  <c r="C106" i="2" s="1"/>
  <c r="D110" i="2"/>
  <c r="C110" i="2" s="1"/>
  <c r="D107" i="2"/>
  <c r="C107" i="2" s="1"/>
  <c r="D111" i="2"/>
  <c r="C111" i="2" s="1"/>
  <c r="D108" i="2"/>
  <c r="C108" i="2" s="1"/>
  <c r="D105" i="2"/>
  <c r="C105" i="2" s="1"/>
  <c r="D109" i="2"/>
  <c r="C109" i="2" s="1"/>
  <c r="H6" i="8"/>
  <c r="G6" i="8" s="1"/>
  <c r="H5" i="8"/>
  <c r="D71" i="8"/>
  <c r="C71" i="8" s="1"/>
  <c r="E71" i="8" s="1"/>
  <c r="U32" i="10"/>
  <c r="G24" i="8"/>
  <c r="G33" i="10" s="1"/>
  <c r="G32" i="10"/>
  <c r="C36" i="8"/>
  <c r="C35" i="8"/>
  <c r="O32" i="10"/>
  <c r="G27" i="8"/>
  <c r="O33" i="10" s="1"/>
  <c r="K32" i="10"/>
  <c r="F25" i="8"/>
  <c r="G25" i="8" s="1"/>
  <c r="S33" i="10" s="1"/>
  <c r="G26" i="8"/>
  <c r="K33" i="10" s="1"/>
  <c r="S29" i="10"/>
  <c r="D102" i="2"/>
  <c r="C102" i="2" s="1"/>
  <c r="D93" i="2"/>
  <c r="C93" i="2" s="1"/>
  <c r="D45" i="2"/>
  <c r="C45" i="2" s="1"/>
  <c r="D78" i="2"/>
  <c r="C78" i="2" s="1"/>
  <c r="D40" i="2"/>
  <c r="C40" i="2" s="1"/>
  <c r="D64" i="2"/>
  <c r="C64" i="2" s="1"/>
  <c r="D30" i="2"/>
  <c r="C30" i="2" s="1"/>
  <c r="D23" i="2"/>
  <c r="C23" i="2" s="1"/>
  <c r="D47" i="2"/>
  <c r="C47" i="2" s="1"/>
  <c r="D43" i="2"/>
  <c r="C43" i="2" s="1"/>
  <c r="D10" i="2"/>
  <c r="C10" i="2" s="1"/>
  <c r="D18" i="2"/>
  <c r="C18" i="2" s="1"/>
  <c r="D17" i="2"/>
  <c r="C17" i="2" s="1"/>
  <c r="D28" i="2"/>
  <c r="C28" i="2" s="1"/>
  <c r="D19" i="2"/>
  <c r="C19" i="2" s="1"/>
  <c r="D15" i="2"/>
  <c r="C15" i="2" s="1"/>
  <c r="D14" i="2"/>
  <c r="C14" i="2" s="1"/>
  <c r="D61" i="2"/>
  <c r="C61" i="2" s="1"/>
  <c r="D20" i="2"/>
  <c r="C20" i="2" s="1"/>
  <c r="D35" i="2"/>
  <c r="C35" i="2" s="1"/>
  <c r="D90" i="2"/>
  <c r="C90" i="2" s="1"/>
  <c r="D84" i="2"/>
  <c r="C84" i="2" s="1"/>
  <c r="D66" i="2"/>
  <c r="C66" i="2" s="1"/>
  <c r="D96" i="2"/>
  <c r="C96" i="2" s="1"/>
  <c r="D55" i="2"/>
  <c r="C55" i="2" s="1"/>
  <c r="D89" i="2"/>
  <c r="C89" i="2" s="1"/>
  <c r="D83" i="2"/>
  <c r="C83" i="2" s="1"/>
  <c r="D88" i="2"/>
  <c r="C88" i="2" s="1"/>
  <c r="D25" i="2"/>
  <c r="C25" i="2" s="1"/>
  <c r="D33" i="2"/>
  <c r="C33" i="2" s="1"/>
  <c r="D24" i="2"/>
  <c r="C24" i="2" s="1"/>
  <c r="D16" i="2"/>
  <c r="C16" i="2" s="1"/>
  <c r="D85" i="2"/>
  <c r="C85" i="2" s="1"/>
  <c r="D94" i="2"/>
  <c r="C94" i="2" s="1"/>
  <c r="D58" i="2"/>
  <c r="C58" i="2" s="1"/>
  <c r="D91" i="2"/>
  <c r="C91" i="2" s="1"/>
  <c r="D46" i="2"/>
  <c r="C46" i="2" s="1"/>
  <c r="D12" i="2"/>
  <c r="C12" i="2" s="1"/>
  <c r="D77" i="2"/>
  <c r="C77" i="2" s="1"/>
  <c r="D48" i="2"/>
  <c r="C48" i="2" s="1"/>
  <c r="D63" i="2"/>
  <c r="C63" i="2" s="1"/>
  <c r="D21" i="2"/>
  <c r="C21" i="2" s="1"/>
  <c r="D26" i="2"/>
  <c r="C26" i="2" s="1"/>
  <c r="D11" i="2"/>
  <c r="C11" i="2" s="1"/>
  <c r="D32" i="2"/>
  <c r="C32" i="2" s="1"/>
  <c r="D9" i="2"/>
  <c r="C9" i="2" s="1"/>
  <c r="D52" i="2"/>
  <c r="C52" i="2" s="1"/>
  <c r="D74" i="2"/>
  <c r="C74" i="2" s="1"/>
  <c r="D73" i="2"/>
  <c r="C73" i="2" s="1"/>
  <c r="D72" i="2"/>
  <c r="C72" i="2" s="1"/>
  <c r="D65" i="2"/>
  <c r="C65" i="2" s="1"/>
  <c r="D51" i="2"/>
  <c r="C51" i="2" s="1"/>
  <c r="D38" i="2"/>
  <c r="C38" i="2" s="1"/>
  <c r="D103" i="2"/>
  <c r="C103" i="2" s="1"/>
  <c r="D100" i="2"/>
  <c r="C100" i="2" s="1"/>
  <c r="D82" i="2"/>
  <c r="C82" i="2" s="1"/>
  <c r="D87" i="2"/>
  <c r="C87" i="2" s="1"/>
  <c r="D27" i="2"/>
  <c r="C27" i="2" s="1"/>
  <c r="D50" i="2"/>
  <c r="C50" i="2" s="1"/>
  <c r="D34" i="2"/>
  <c r="C34" i="2" s="1"/>
  <c r="D99" i="2"/>
  <c r="C99" i="2" s="1"/>
  <c r="D56" i="2"/>
  <c r="C56" i="2" s="1"/>
  <c r="D98" i="2"/>
  <c r="C98" i="2" s="1"/>
  <c r="D53" i="2"/>
  <c r="C53" i="2" s="1"/>
  <c r="D39" i="2"/>
  <c r="C39" i="2" s="1"/>
  <c r="D36" i="2"/>
  <c r="C36" i="2" s="1"/>
  <c r="D29" i="2"/>
  <c r="C29" i="2" s="1"/>
  <c r="D76" i="2"/>
  <c r="C76" i="2" s="1"/>
  <c r="D41" i="2"/>
  <c r="C41" i="2" s="1"/>
  <c r="D62" i="2"/>
  <c r="C62" i="2" s="1"/>
  <c r="D13" i="2"/>
  <c r="C13" i="2" s="1"/>
  <c r="D68" i="2"/>
  <c r="C68" i="2" s="1"/>
  <c r="D67" i="2"/>
  <c r="C67" i="2" s="1"/>
  <c r="D60" i="2"/>
  <c r="C60" i="2" s="1"/>
  <c r="D59" i="2"/>
  <c r="C59" i="2" s="1"/>
  <c r="D49" i="2"/>
  <c r="C49" i="2" s="1"/>
  <c r="D44" i="2"/>
  <c r="C44" i="2" s="1"/>
  <c r="D42" i="2"/>
  <c r="C42" i="2" s="1"/>
  <c r="D31" i="2"/>
  <c r="C31" i="2" s="1"/>
  <c r="D70" i="2"/>
  <c r="C70" i="2" s="1"/>
  <c r="D22" i="2"/>
  <c r="C22" i="2" s="1"/>
  <c r="D79" i="2"/>
  <c r="C79" i="2" s="1"/>
  <c r="D95" i="2"/>
  <c r="C95" i="2" s="1"/>
  <c r="D104" i="2"/>
  <c r="C104" i="2" s="1"/>
  <c r="D97" i="2"/>
  <c r="C97" i="2" s="1"/>
  <c r="D81" i="2"/>
  <c r="C81" i="2" s="1"/>
  <c r="D86" i="2"/>
  <c r="C86" i="2" s="1"/>
  <c r="D80" i="2"/>
  <c r="C80" i="2" s="1"/>
  <c r="D71" i="2"/>
  <c r="C71" i="2" s="1"/>
  <c r="D69" i="2"/>
  <c r="C69" i="2" s="1"/>
  <c r="D37" i="2"/>
  <c r="C37" i="2" s="1"/>
  <c r="D75" i="2"/>
  <c r="C75" i="2" s="1"/>
  <c r="D57" i="2"/>
  <c r="C57" i="2" s="1"/>
  <c r="D54" i="2"/>
  <c r="C54" i="2" s="1"/>
  <c r="D92" i="2"/>
  <c r="C92" i="2" s="1"/>
  <c r="D101" i="2"/>
  <c r="C101" i="2" s="1"/>
  <c r="G5" i="8" l="1"/>
  <c r="H8" i="8"/>
  <c r="S7" i="10"/>
  <c r="S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<sst xmlns="http://schemas.openxmlformats.org/spreadsheetml/2006/main" count="1084" uniqueCount="278">
  <si>
    <t>Candidate Name:</t>
  </si>
  <si>
    <t>Date of Exam:</t>
  </si>
  <si>
    <t>Date of Beginning Preparation:</t>
  </si>
  <si>
    <t>Subject</t>
  </si>
  <si>
    <t>Reading</t>
  </si>
  <si>
    <t>Topic</t>
  </si>
  <si>
    <t>U</t>
  </si>
  <si>
    <t>Total</t>
  </si>
  <si>
    <t>Performance Review</t>
  </si>
  <si>
    <t>Total Chapters</t>
  </si>
  <si>
    <t>Order of Study</t>
  </si>
  <si>
    <t>Done</t>
  </si>
  <si>
    <t>Undone</t>
  </si>
  <si>
    <t>Syllubus(D)</t>
  </si>
  <si>
    <t>Syllubus(T)</t>
  </si>
  <si>
    <t>Practice(D)</t>
  </si>
  <si>
    <t>Practice(T)</t>
  </si>
  <si>
    <t>Practice</t>
  </si>
  <si>
    <t>Done (P)</t>
  </si>
  <si>
    <t>Undone(P)</t>
  </si>
  <si>
    <t>Undone(S)</t>
  </si>
  <si>
    <t>Lectures</t>
  </si>
  <si>
    <t>Self Study</t>
  </si>
  <si>
    <t>Revision</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</si>
  <si>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</si>
  <si>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</si>
  <si>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</si>
  <si>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</si>
  <si>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</si>
  <si>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</si>
  <si>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</si>
  <si>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</si>
  <si>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</si>
  <si>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</si>
  <si>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</si>
  <si>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</si>
  <si>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</si>
  <si>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</si>
  <si>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</si>
  <si>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</si>
  <si>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</si>
  <si>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</si>
  <si>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</si>
  <si>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</si>
  <si>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</si>
  <si>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</si>
  <si>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</si>
  <si>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</si>
  <si>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</si>
  <si>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</si>
  <si>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</si>
  <si>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</si>
  <si>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</si>
  <si>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</si>
  <si>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</si>
  <si>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</si>
  <si>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</si>
  <si>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</si>
  <si>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</si>
  <si>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</si>
  <si>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</si>
  <si>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</si>
  <si>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</si>
  <si>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</si>
  <si>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</si>
  <si>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</si>
  <si>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</si>
  <si>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</si>
  <si>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</si>
  <si>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</si>
  <si>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</si>
  <si>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</si>
  <si>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</si>
  <si>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</si>
  <si>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</si>
  <si>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</si>
  <si>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</si>
  <si>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</si>
  <si>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</si>
  <si>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</si>
  <si>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a </t>
    </r>
    <r>
      <rPr>
        <b/>
        <sz val="11"/>
        <color theme="1"/>
        <rFont val="Tw Cen MT"/>
        <family val="2"/>
      </rPr>
      <t>rough idea about the duration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</si>
  <si>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Syllabus</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</si>
  <si>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t>
    </r>
  </si>
  <si>
    <r>
      <t>It just gives an indication of whether the chapter is lengthy on a scale of '1' to '5', '</t>
    </r>
    <r>
      <rPr>
        <b/>
        <sz val="11"/>
        <color theme="1"/>
        <rFont val="Tw Cen MT"/>
        <family val="2"/>
      </rPr>
      <t>3' being an average chapter length.</t>
    </r>
  </si>
  <si>
    <t>Notes to Yourself</t>
  </si>
  <si>
    <t>Average</t>
  </si>
  <si>
    <t>Lengthy</t>
  </si>
  <si>
    <t>Numerical or Not</t>
  </si>
  <si>
    <t>Diff. Level</t>
  </si>
  <si>
    <t>Imp. Level</t>
  </si>
  <si>
    <t>Reqd. Prac.</t>
  </si>
  <si>
    <t>Cum. (%)</t>
  </si>
  <si>
    <t>Prac. Book</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</si>
  <si>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</si>
  <si>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</si>
  <si>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</si>
  <si>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</si>
  <si>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New</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</si>
  <si>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</si>
  <si>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</si>
  <si>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</si>
  <si>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</si>
  <si>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</si>
  <si>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</si>
  <si>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</si>
  <si>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</si>
  <si>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</si>
  <si>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</si>
  <si>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</si>
  <si>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</si>
  <si>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</si>
  <si>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</si>
  <si>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</si>
  <si>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</si>
  <si>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</si>
  <si>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</si>
  <si>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</si>
  <si>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undone duration</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</si>
  <si>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</si>
  <si>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</si>
  <si>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</si>
  <si>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</si>
  <si>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</si>
  <si>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</si>
  <si>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</si>
  <si>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</si>
  <si>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</si>
  <si>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</si>
  <si>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Count of Lectures</t>
  </si>
  <si>
    <t>Count of Self Study</t>
  </si>
  <si>
    <t>Count of Revision</t>
  </si>
  <si>
    <t>Count of Practice</t>
  </si>
  <si>
    <t>Count of Extra Practice</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</si>
  <si>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</si>
  <si>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</si>
  <si>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</si>
  <si>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</si>
  <si>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</si>
  <si>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</si>
  <si>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</si>
  <si>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</si>
  <si>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</si>
  <si>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</si>
  <si>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</si>
  <si>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</si>
  <si>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</si>
  <si>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</si>
  <si>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</si>
  <si>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</si>
  <si>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</si>
  <si>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</si>
  <si>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</si>
  <si>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</si>
  <si>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</si>
  <si>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</si>
  <si>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</si>
  <si>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</si>
  <si>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Your Name</t>
  </si>
  <si>
    <t>Factor Theory</t>
  </si>
  <si>
    <t>Factors</t>
  </si>
  <si>
    <t>Market Risk</t>
  </si>
  <si>
    <t>Backtesting VaR</t>
  </si>
  <si>
    <t>VaR Mapping</t>
  </si>
  <si>
    <t>Portfolio Construction</t>
  </si>
  <si>
    <t>VaR and Risk Budgeting in Investment Management</t>
  </si>
  <si>
    <t>Risk Monitoring and Performance Measurement</t>
  </si>
  <si>
    <t>Portfolio Performance Evaluation</t>
  </si>
  <si>
    <t>Empirical Approaches to Risk Metrics and Hedging</t>
  </si>
  <si>
    <t>The Science of Term Structure Models</t>
  </si>
  <si>
    <t>The Evolution of Short Rates and the Shape of the Term Structure</t>
  </si>
  <si>
    <t>Hedge Funds</t>
  </si>
  <si>
    <t>Performing Due Diligence on Specific Managers and Funds</t>
  </si>
  <si>
    <t>Volatility Smiles</t>
  </si>
  <si>
    <t>Fundamental Review of the Trading Book</t>
  </si>
  <si>
    <t>Credit Risk</t>
  </si>
  <si>
    <t>Capital Structure in Banks</t>
  </si>
  <si>
    <t>An Introduction to Securitisation</t>
  </si>
  <si>
    <t>Counterparty Risk and Beyond</t>
  </si>
  <si>
    <t>Netting, Close-out and Related Aspects</t>
  </si>
  <si>
    <t>CVA</t>
  </si>
  <si>
    <t>Future Value and Exposure</t>
  </si>
  <si>
    <t>The Evolution of Stress Testing Counterparty Exposures</t>
  </si>
  <si>
    <t>Credit Scoring and Retail Credit Risk Management</t>
  </si>
  <si>
    <t>Portfolio Credit Risk</t>
  </si>
  <si>
    <t>Structured Credit Risk</t>
  </si>
  <si>
    <t>Operational Risk</t>
  </si>
  <si>
    <t>Liquidity Risk</t>
  </si>
  <si>
    <t>Liquidity and Leverage</t>
  </si>
  <si>
    <t>Early Warning Indicators</t>
  </si>
  <si>
    <t>Capital Regulation Before the Global Financial Crisis</t>
  </si>
  <si>
    <t>Risk Capital Attribution and Risk-Adjusted Performance Measurement</t>
  </si>
  <si>
    <t>Guidance on Managing Outsourcing Risk</t>
  </si>
  <si>
    <t>The Investment Function in Financial-Services Management</t>
  </si>
  <si>
    <t>Intraday Liquidity Risk Management</t>
  </si>
  <si>
    <t>Monitoring Liquidity</t>
  </si>
  <si>
    <t>Stress Testing Banks</t>
  </si>
  <si>
    <t>Supervisory Guidance on Model Risk Management</t>
  </si>
  <si>
    <t>The Failure Mechanics of Dealer Banks</t>
  </si>
  <si>
    <t>Liquidity Stress Testing</t>
  </si>
  <si>
    <t>Liquidity Risk Reporting and Stress Testing</t>
  </si>
  <si>
    <t>Contingency Funding Planning</t>
  </si>
  <si>
    <t>Managing and Pricing Deposit Services</t>
  </si>
  <si>
    <t>Repurchase Agreements and Financing</t>
  </si>
  <si>
    <t>The US Dollar Shortage in Global Banking and the International Policy Response</t>
  </si>
  <si>
    <t>Illiquid Assets</t>
  </si>
  <si>
    <t>Current Issues</t>
  </si>
  <si>
    <t>GARP EOC Ques.</t>
  </si>
  <si>
    <t>FRM P-2</t>
  </si>
  <si>
    <t>The schedule is automatically update with every passing day, telling you what you need to complete in the current week and the following weeks until your revision day starts based on you study hours.</t>
  </si>
  <si>
    <r>
      <t xml:space="preserve">On a scale of </t>
    </r>
    <r>
      <rPr>
        <b/>
        <sz val="11"/>
        <color theme="1"/>
        <rFont val="Tw Cen MT"/>
        <family val="2"/>
      </rPr>
      <t>1(None) to 5(completely)</t>
    </r>
    <r>
      <rPr>
        <sz val="11"/>
        <color theme="1"/>
        <rFont val="Tw Cen MT"/>
        <family val="2"/>
      </rPr>
      <t xml:space="preserve"> have highlighted if the reading has a lot of numerical, formulas, ratios, calculations, etc. This is just to give you an idea to have the right expectations before you begin the chapter.</t>
    </r>
  </si>
  <si>
    <r>
      <t xml:space="preserve">Details on 'what' and 'how much' to practice has been provided in details already. This is just to give an indication on a chapter-wise basis, concerning the required practice, given how much the student is prone to error, or if there are a lot of confusing or difficult questions being tested from that chapter.
1 - Only If you have a shortage of time, you may skip the practice altogether, else do the </t>
    </r>
    <r>
      <rPr>
        <b/>
        <sz val="11"/>
        <color theme="1"/>
        <rFont val="Tw Cen MT"/>
        <family val="2"/>
      </rPr>
      <t xml:space="preserve">practice questions provided by going through the questions and solutions to quickly get a hang of the questions. </t>
    </r>
    <r>
      <rPr>
        <sz val="11"/>
        <color theme="1"/>
        <rFont val="Tw Cen MT"/>
        <family val="2"/>
      </rPr>
      <t xml:space="preserve">
2 - If you are short of time, try </t>
    </r>
    <r>
      <rPr>
        <b/>
        <sz val="11"/>
        <color theme="1"/>
        <rFont val="Tw Cen MT"/>
        <family val="2"/>
      </rPr>
      <t>Schweser EOC</t>
    </r>
    <r>
      <rPr>
        <sz val="11"/>
        <color theme="1"/>
        <rFont val="Tw Cen MT"/>
        <family val="2"/>
      </rPr>
      <t xml:space="preserve"> and do the Practice Questions provided by going through the questions and solutions to quickly get a hang of the questions. 
3 -Do the Schweser EOC, try the practice questions yourself first, and then go through the solution; then </t>
    </r>
    <r>
      <rPr>
        <b/>
        <sz val="11"/>
        <color theme="1"/>
        <rFont val="Tw Cen MT"/>
        <family val="2"/>
      </rPr>
      <t>try completing the Institute Material EOC</t>
    </r>
    <r>
      <rPr>
        <sz val="11"/>
        <color theme="1"/>
        <rFont val="Tw Cen MT"/>
        <family val="2"/>
      </rPr>
      <t xml:space="preserve">
4 - Do the Schweser EOC, try the practice questions yourself first, and then go through the solutions, then</t>
    </r>
    <r>
      <rPr>
        <b/>
        <sz val="11"/>
        <color theme="1"/>
        <rFont val="Tw Cen MT"/>
        <family val="2"/>
      </rPr>
      <t xml:space="preserve"> complete the Institute Material EOC</t>
    </r>
    <r>
      <rPr>
        <sz val="11"/>
        <color theme="1"/>
        <rFont val="Tw Cen MT"/>
        <family val="2"/>
      </rPr>
      <t>. Institute has not provided solutions to most questions and that could be an issue.</t>
    </r>
  </si>
  <si>
    <r>
      <t>This gives you a rough approximation of the ‘%’ of</t>
    </r>
    <r>
      <rPr>
        <b/>
        <sz val="11"/>
        <color theme="1"/>
        <rFont val="Tw Cen MT"/>
        <family val="2"/>
      </rPr>
      <t xml:space="preserve"> lectures completed</t>
    </r>
    <r>
      <rPr>
        <sz val="11"/>
        <color theme="1"/>
        <rFont val="Tw Cen MT"/>
        <family val="2"/>
      </rPr>
      <t xml:space="preserve">, and hence an idea of the proportion of syllabus completed. </t>
    </r>
  </si>
  <si>
    <r>
      <t xml:space="preserve">The Most important part of your preparation. You must </t>
    </r>
    <r>
      <rPr>
        <b/>
        <sz val="11"/>
        <color theme="1"/>
        <rFont val="Tw Cen MT"/>
        <family val="2"/>
      </rPr>
      <t>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</si>
  <si>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t>Practice Books</t>
  </si>
  <si>
    <t xml:space="preserve">You have to do these, as the exam level of difficulty is quite good and practice is important. The level of difficulty is higher. Make sure you solve these on a chapter wise basis. Further details provided in ‘How to study and practice’ lecture. </t>
  </si>
  <si>
    <t>GARP EOC Questions</t>
  </si>
  <si>
    <t>The questions are a little difficult and quite a few of them Non-MCQ. You can go through them. It is a problem to solve all since institute hasn’t provided solutions in all chapters. We will have to focus on Practice book questions and a thorough revision given that the syllabus is quite extensive.</t>
  </si>
  <si>
    <t>Introduction to Operational Risk and Resilience</t>
  </si>
  <si>
    <t>Risk Governance</t>
  </si>
  <si>
    <t>Risk Identification</t>
  </si>
  <si>
    <t>Risk Measurement and Assessment</t>
  </si>
  <si>
    <t>Risk Mitigation</t>
  </si>
  <si>
    <t>Risk Reporting</t>
  </si>
  <si>
    <t>Integrated Risk Management</t>
  </si>
  <si>
    <t>Sound Management of Risks related to Money Laundering and Financing of Terrorism</t>
  </si>
  <si>
    <t>Predicting Fraud by Investment Managers</t>
  </si>
  <si>
    <t>Right click on the slicer and Refresh to update the graphs.</t>
  </si>
  <si>
    <t>Investment Risk</t>
  </si>
  <si>
    <t>Alpha and the Low-Risk Anomaly</t>
  </si>
  <si>
    <t>Estimating Market Risk Measures-An Introduction and Overview</t>
  </si>
  <si>
    <t>Non-parametric Approaches</t>
  </si>
  <si>
    <t>Parametric Approaches II-Extreme Value</t>
  </si>
  <si>
    <t>Basel Committee on Banking Supervision</t>
  </si>
  <si>
    <t>Portfolio Risk-Analytical Methods</t>
  </si>
  <si>
    <t>Correlation Basics-Definitions, Applications, and Terminology</t>
  </si>
  <si>
    <t>Empirical Properties of Correlation-How Do Correlations Behave in the Real World</t>
  </si>
  <si>
    <t>Financial Correlation Modeling-Bottom-Up Approaches</t>
  </si>
  <si>
    <t>The Art of Term Structure Models-Drift</t>
  </si>
  <si>
    <t>The Art of Term Structure Models-Volatility and Distribution</t>
  </si>
  <si>
    <t>Fundamentals of Credit Risk</t>
  </si>
  <si>
    <t>Governance</t>
  </si>
  <si>
    <t>Estimating Default Probabilities</t>
  </si>
  <si>
    <t>Credit Value at Risk</t>
  </si>
  <si>
    <t>Credit Derivatives</t>
  </si>
  <si>
    <t>Derivatives</t>
  </si>
  <si>
    <t>Margin Collateral and Settlement</t>
  </si>
  <si>
    <t>Credit Risk Management</t>
  </si>
  <si>
    <t>Credit Scoring and Rating</t>
  </si>
  <si>
    <t>Introduction to Credit Risk Modeling and Assessment</t>
  </si>
  <si>
    <t>Country Risk-Determinants, Measures, and Implications</t>
  </si>
  <si>
    <t>Central Clearing</t>
  </si>
  <si>
    <t>Case Study-Third-Party Risk Management</t>
  </si>
  <si>
    <t>Liquidity and Reserves Management-Strategies and Policies</t>
  </si>
  <si>
    <t>Range of Practices and Issues in Economic Capital Frameworks</t>
  </si>
  <si>
    <t>Capital Planning at Large Bank Holding Companies-Supervisory Expectations and Range of Current Practice</t>
  </si>
  <si>
    <t>Case Study-Model Risk and Model Validation</t>
  </si>
  <si>
    <t>Managing Non-deposit Liabilities</t>
  </si>
  <si>
    <t>High-Level Summary of Basel III Reforms</t>
  </si>
  <si>
    <t>Basel III-Finalising Post-Crisis Reforms</t>
  </si>
  <si>
    <t>Solvency, Liquidity, and Other Regulation After the Global Financial Crisis</t>
  </si>
  <si>
    <t>Liquidity Transfer Pricing-A Guide to Better Practice</t>
  </si>
  <si>
    <t>Covered Interest Parity Lost-Understanding the Cross-Currency Basis</t>
  </si>
  <si>
    <t>Risk Management for Changing Interest Rates-Asset-Liability Management and Duration Techniques</t>
  </si>
  <si>
    <t>Case Study-Financial Crime and Fraud</t>
  </si>
  <si>
    <t>Climate-Related Risk Drivers and their Transmission Channels</t>
  </si>
  <si>
    <t>Climate-Related Financial Risks-Measurement Methodologies</t>
  </si>
  <si>
    <t>Principles for the Effective Management and Supervision of Climate-Related Financial Risks</t>
  </si>
  <si>
    <t>Cyber-resilience-Range of practices</t>
  </si>
  <si>
    <t>Case Study-Cyberthreats and Information Security Risks</t>
  </si>
  <si>
    <t>Case Study-Investor Protection and Compliance Risks in Investment Activities</t>
  </si>
  <si>
    <t>Review of the Federal Reserves Supervision and Regulation of Silicon Valley Bank</t>
  </si>
  <si>
    <t>The Credit Suisse CoCo Wipeout-Facts, Misperceptions, and Lessons for Financial Regulation</t>
  </si>
  <si>
    <t>Artificial Intelligence and Bank Supervision</t>
  </si>
  <si>
    <t>Financial Risk Management and Explainable, Trustworthy, Responsible AI</t>
  </si>
  <si>
    <t>Artificial Intelligence Risk Management Framework</t>
  </si>
  <si>
    <t>The Crypto Ecosystem-Key Elements and Risks</t>
  </si>
  <si>
    <t>Digital Resilience and Financial Stability</t>
  </si>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</sst>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9">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
      <sz val="10"/>
      <color rgb="FF000000"/>
      <name val="Tw Cen MT"/>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
      <left/>
      <right/>
      <top style="thin">
        <color theme="4" tint="0.39997558519241921"/>
      </top>
      <bottom/>
      <diagonal/>
    </border>
  </borders>
  <cellStyleXfs count="6">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xf numFmtId="0" fontId="77" fillId="0" borderId="0"/>
  </cellStyleXfs>
  <cellXfs count="322">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17" fontId="3" fillId="0" borderId="6"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20" fontId="13"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9" xfId="0" applyFont="1" applyFill="1" applyBorder="1" applyAlignment="1">
      <alignment vertical="center"/>
    </xf>
    <xf numFmtId="0" fontId="61" fillId="3" borderId="9"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3"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3"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169" fontId="0" fillId="0" borderId="2" xfId="0" applyNumberFormat="1" applyBorder="1" applyAlignment="1">
      <alignment horizontal="center" vertical="center" wrapText="1"/>
    </xf>
    <xf numFmtId="0" fontId="48" fillId="3" borderId="6" xfId="0"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60" fillId="7" borderId="10" xfId="0" applyFont="1" applyFill="1" applyBorder="1" applyAlignment="1">
      <alignment horizontal="center" vertical="center" wrapText="1"/>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0" fontId="19" fillId="0" borderId="21" xfId="0" applyFont="1" applyBorder="1"/>
    <xf numFmtId="165" fontId="3" fillId="0" borderId="21" xfId="0" applyNumberFormat="1" applyFont="1" applyBorder="1" applyAlignment="1">
      <alignment horizontal="center" vertical="center" wrapText="1"/>
    </xf>
    <xf numFmtId="165" fontId="10" fillId="0" borderId="21" xfId="0" applyNumberFormat="1" applyFont="1" applyBorder="1" applyAlignment="1">
      <alignment horizontal="center" vertical="center" wrapText="1"/>
    </xf>
    <xf numFmtId="164" fontId="3" fillId="0" borderId="21" xfId="0" applyNumberFormat="1" applyFont="1" applyBorder="1" applyAlignment="1">
      <alignment horizontal="center"/>
    </xf>
    <xf numFmtId="173" fontId="3" fillId="0" borderId="21" xfId="0" applyNumberFormat="1" applyFont="1" applyBorder="1" applyAlignment="1">
      <alignment horizontal="center"/>
    </xf>
    <xf numFmtId="164" fontId="10" fillId="0" borderId="21" xfId="0" applyNumberFormat="1" applyFont="1" applyBorder="1" applyAlignment="1">
      <alignment horizontal="center"/>
    </xf>
    <xf numFmtId="0" fontId="18" fillId="12" borderId="21" xfId="0" applyFont="1" applyFill="1" applyBorder="1"/>
    <xf numFmtId="165" fontId="21" fillId="12" borderId="21" xfId="0" applyNumberFormat="1" applyFont="1" applyFill="1" applyBorder="1" applyAlignment="1">
      <alignment horizontal="center" vertical="center" wrapText="1"/>
    </xf>
    <xf numFmtId="164" fontId="18" fillId="12" borderId="21" xfId="0" applyNumberFormat="1" applyFont="1" applyFill="1" applyBorder="1" applyAlignment="1">
      <alignment horizontal="center"/>
    </xf>
    <xf numFmtId="173" fontId="18" fillId="12" borderId="21"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5" fillId="3" borderId="6" xfId="0" applyFont="1" applyFill="1" applyBorder="1" applyAlignment="1">
      <alignment horizontal="center" vertical="center" wrapText="1"/>
    </xf>
    <xf numFmtId="20" fontId="26" fillId="0" borderId="2" xfId="0" applyNumberFormat="1" applyFont="1" applyBorder="1" applyAlignment="1">
      <alignment horizontal="center" vertical="center" wrapText="1"/>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5" xfId="0" applyFont="1" applyFill="1" applyBorder="1"/>
    <xf numFmtId="0" fontId="63" fillId="22" borderId="40" xfId="0" applyFont="1" applyFill="1" applyBorder="1" applyAlignment="1">
      <alignment vertical="center"/>
    </xf>
    <xf numFmtId="14" fontId="62" fillId="3" borderId="40"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0"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1" xfId="0" quotePrefix="1" applyFont="1" applyFill="1" applyBorder="1"/>
    <xf numFmtId="0" fontId="3" fillId="16" borderId="29" xfId="0" applyFont="1" applyFill="1" applyBorder="1"/>
    <xf numFmtId="0" fontId="53" fillId="23" borderId="30"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0" xfId="0" applyFont="1" applyFill="1" applyBorder="1" applyAlignment="1">
      <alignment horizontal="center" vertical="center" wrapText="1"/>
    </xf>
    <xf numFmtId="0" fontId="68" fillId="16" borderId="29"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8" xfId="0" applyNumberFormat="1" applyFont="1" applyBorder="1" applyAlignment="1">
      <alignment horizontal="center"/>
    </xf>
    <xf numFmtId="172" fontId="3" fillId="16" borderId="0" xfId="0" applyNumberFormat="1" applyFont="1" applyFill="1"/>
    <xf numFmtId="172" fontId="3" fillId="0" borderId="37" xfId="0" applyNumberFormat="1" applyFont="1" applyBorder="1" applyAlignment="1">
      <alignment horizontal="center"/>
    </xf>
    <xf numFmtId="172" fontId="3" fillId="16" borderId="0" xfId="0" applyNumberFormat="1" applyFont="1" applyFill="1" applyAlignment="1">
      <alignment wrapText="1"/>
    </xf>
    <xf numFmtId="165" fontId="3" fillId="0" borderId="37" xfId="0" applyNumberFormat="1" applyFont="1" applyBorder="1" applyAlignment="1">
      <alignment horizontal="center"/>
    </xf>
    <xf numFmtId="172" fontId="3" fillId="16" borderId="17"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8" xfId="0" applyNumberFormat="1" applyFont="1" applyBorder="1" applyAlignment="1">
      <alignment horizontal="center"/>
    </xf>
    <xf numFmtId="172" fontId="3" fillId="0" borderId="38" xfId="0" applyNumberFormat="1" applyFont="1" applyBorder="1" applyAlignment="1">
      <alignment horizontal="center" vertical="top" wrapText="1"/>
    </xf>
    <xf numFmtId="172" fontId="3" fillId="0" borderId="17" xfId="0" applyNumberFormat="1" applyFont="1" applyBorder="1" applyAlignment="1">
      <alignment horizontal="center" vertical="top" wrapText="1"/>
    </xf>
    <xf numFmtId="165" fontId="3" fillId="0" borderId="16" xfId="0" applyNumberFormat="1" applyFont="1" applyBorder="1" applyAlignment="1">
      <alignment horizontal="center" vertical="top" wrapText="1"/>
    </xf>
    <xf numFmtId="172" fontId="3" fillId="16" borderId="18" xfId="0" applyNumberFormat="1" applyFont="1" applyFill="1" applyBorder="1"/>
    <xf numFmtId="172" fontId="53" fillId="16" borderId="17" xfId="0" applyNumberFormat="1" applyFont="1" applyFill="1" applyBorder="1"/>
    <xf numFmtId="172" fontId="52" fillId="16" borderId="0" xfId="0" applyNumberFormat="1" applyFont="1" applyFill="1" applyAlignment="1">
      <alignment horizontal="center" vertical="center" wrapText="1"/>
    </xf>
    <xf numFmtId="0" fontId="3" fillId="16" borderId="41" xfId="0" applyFont="1" applyFill="1" applyBorder="1"/>
    <xf numFmtId="0" fontId="54" fillId="16" borderId="17" xfId="0" quotePrefix="1" applyFont="1" applyFill="1" applyBorder="1" applyAlignment="1">
      <alignment horizontal="left" indent="1"/>
    </xf>
    <xf numFmtId="172" fontId="3" fillId="0" borderId="16" xfId="0" applyNumberFormat="1" applyFont="1" applyBorder="1" applyAlignment="1">
      <alignment horizontal="center" vertical="center"/>
    </xf>
    <xf numFmtId="172" fontId="3" fillId="16" borderId="42" xfId="0" applyNumberFormat="1" applyFont="1" applyFill="1" applyBorder="1" applyAlignment="1">
      <alignment horizontal="center" vertical="center"/>
    </xf>
    <xf numFmtId="165" fontId="3" fillId="0" borderId="17" xfId="0" applyNumberFormat="1" applyFont="1" applyBorder="1" applyAlignment="1">
      <alignment horizontal="center" vertical="center"/>
    </xf>
    <xf numFmtId="172" fontId="54" fillId="16" borderId="17"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15" fillId="9" borderId="20"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3" fillId="4" borderId="46" xfId="0" applyFont="1" applyFill="1" applyBorder="1" applyAlignment="1">
      <alignment vertical="center" wrapText="1"/>
    </xf>
    <xf numFmtId="0" fontId="78" fillId="0" borderId="2" xfId="5" applyFont="1" applyBorder="1" applyAlignment="1">
      <alignment vertical="center" wrapText="1"/>
    </xf>
    <xf numFmtId="17" fontId="3" fillId="0" borderId="0" xfId="0" applyNumberFormat="1" applyFont="1" applyAlignment="1">
      <alignment horizontal="center" vertical="center" wrapText="1"/>
    </xf>
    <xf numFmtId="0" fontId="76" fillId="16" borderId="9" xfId="0" applyFont="1" applyFill="1" applyBorder="1" applyAlignment="1">
      <alignment horizontal="center" vertical="center"/>
    </xf>
    <xf numFmtId="0" fontId="60" fillId="7" borderId="10" xfId="0" applyFont="1" applyFill="1" applyBorder="1" applyAlignment="1">
      <alignment horizontal="center" vertical="center" wrapText="1"/>
    </xf>
    <xf numFmtId="0" fontId="57" fillId="16" borderId="0" xfId="4" applyFont="1" applyFill="1" applyAlignment="1" applyProtection="1">
      <alignment horizontal="center" vertical="center"/>
    </xf>
    <xf numFmtId="0" fontId="6" fillId="21" borderId="0" xfId="0" applyFont="1" applyFill="1" applyAlignment="1">
      <alignment horizontal="center" vertical="center"/>
    </xf>
    <xf numFmtId="0" fontId="3" fillId="24" borderId="9"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73" fillId="21" borderId="0" xfId="0" applyFont="1" applyFill="1" applyAlignment="1">
      <alignment horizontal="left" vertical="center"/>
    </xf>
    <xf numFmtId="0" fontId="73" fillId="21" borderId="0" xfId="0" applyFont="1" applyFill="1" applyAlignment="1">
      <alignment horizontal="center" vertical="center"/>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0" xfId="0" applyFont="1" applyFill="1" applyBorder="1" applyAlignment="1">
      <alignment horizontal="center" vertical="center" wrapText="1"/>
    </xf>
    <xf numFmtId="0" fontId="64" fillId="21" borderId="20" xfId="0" applyFont="1" applyFill="1" applyBorder="1" applyAlignment="1">
      <alignment horizontal="center" vertical="center" wrapText="1"/>
    </xf>
    <xf numFmtId="0" fontId="64" fillId="21" borderId="15" xfId="0" applyFont="1" applyFill="1" applyBorder="1" applyAlignment="1">
      <alignment horizontal="center" vertical="center" wrapText="1"/>
    </xf>
    <xf numFmtId="0" fontId="23" fillId="21" borderId="20"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74" fillId="16" borderId="0" xfId="0" applyFont="1" applyFill="1" applyAlignment="1">
      <alignment horizontal="left" vertical="center" wrapText="1" indent="2"/>
    </xf>
    <xf numFmtId="9" fontId="3" fillId="0" borderId="43" xfId="0" applyNumberFormat="1" applyFont="1" applyBorder="1" applyAlignment="1">
      <alignment horizontal="center" vertical="center" wrapText="1"/>
    </xf>
    <xf numFmtId="9" fontId="3" fillId="0" borderId="39" xfId="0" applyNumberFormat="1" applyFont="1" applyBorder="1" applyAlignment="1">
      <alignment horizontal="center" vertical="center" wrapText="1"/>
    </xf>
    <xf numFmtId="9" fontId="3" fillId="0" borderId="44"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2" xfId="0" applyNumberFormat="1" applyFont="1" applyBorder="1" applyAlignment="1">
      <alignment horizontal="center"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19"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19"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9"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67" fillId="16" borderId="0" xfId="0" applyFont="1" applyFill="1" applyAlignment="1">
      <alignment horizontal="center" wrapText="1"/>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6">
    <cellStyle name="20% - Accent1" xfId="1" builtinId="30"/>
    <cellStyle name="Hyperlink" xfId="4" builtinId="8"/>
    <cellStyle name="Normal" xfId="0" builtinId="0"/>
    <cellStyle name="Normal 2" xfId="2" xr:uid="{00000000-0005-0000-0000-000002000000}"/>
    <cellStyle name="Normal 3" xfId="5" xr:uid="{6EFE3BD7-6D67-43FC-8D71-0E86ED072530}"/>
    <cellStyle name="Percent" xfId="3" builtinId="5"/>
  </cellStyles>
  <dxfs count="117">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16"/>
    </tableStyle>
    <tableStyle name="Slicer Style 1" pivot="0" table="0" count="1" xr9:uid="{F57D6513-AC47-4077-9F8D-C40FD9A6BFDA}">
      <tableStyleElement type="wholeTable" dxfId="115"/>
    </tableStyle>
    <tableStyle name="Slicer Style 2" pivot="0" table="0" count="1" xr9:uid="{01BD0BB3-5670-42DB-97C2-63B1C6D3857D}">
      <tableStyleElement type="wholeTable" dxfId="114"/>
    </tableStyle>
    <tableStyle name="Slicer Style 3" pivot="0" table="0" count="1" xr9:uid="{93557E10-2300-44AC-8EEB-27707F876CC7}">
      <tableStyleElement type="headerRow" dxfId="113"/>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Progress'!$W$32</c:f>
              <c:strCache>
                <c:ptCount val="1"/>
                <c:pt idx="0">
                  <c:v>Syllubus(T)</c:v>
                </c:pt>
              </c:strCache>
            </c:strRef>
          </c:tx>
          <c:spPr>
            <a:solidFill>
              <a:schemeClr val="bg2">
                <a:lumMod val="90000"/>
              </a:schemeClr>
            </a:solidFill>
            <a:ln>
              <a:noFill/>
            </a:ln>
            <a:effectLst/>
          </c:spPr>
          <c:invertIfNegative val="0"/>
          <c:dLbls>
            <c:dLbl>
              <c:idx val="0"/>
              <c:tx>
                <c:rich>
                  <a:bodyPr/>
                  <a:lstStyle/>
                  <a:p>
                    <a:fld id="{739E1B64-3DCD-4ADE-9DE1-6A95601E81D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76421798-2B17-4889-82A1-6B755F46FF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7963BC1F-7ADA-48E1-86AD-A5087025B0E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DFD24AA4-AB27-48B0-B857-48F3B11EEBC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99C20F2A-7095-407F-85D1-AB94D64573F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EB2AEFD0-18F4-40FE-8788-1FE100A4A71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Progress'!$W$33:$W$38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Progress'!$O$33:$O$38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0A-54EE-422A-8173-85E89CCAC774}"/>
            </c:ext>
          </c:extLst>
        </c:ser>
        <c:ser>
          <c:idx val="3"/>
          <c:order val="3"/>
          <c:tx>
            <c:strRef>
              <c:f>'📊 Progress'!$Y$32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F6803B25-25C7-4BAB-B74A-0B765DE9409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F4440C97-ACE7-4F6D-989A-B3215B1CE7F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D1FBC534-723E-49E4-8392-4C40AE29C78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4DD09097-6013-46A1-8926-BE29A0FA5F6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F0100FEA-D94F-49FE-820A-969E714D794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63E14EA3-EB87-46BE-B902-F05FC0E5CBE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Progress'!$Y$33:$Y$38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Progress'!$M$33:$M$38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15-54EE-422A-8173-85E89CCAC774}"/>
            </c:ext>
          </c:extLst>
        </c:ser>
        <c:ser>
          <c:idx val="5"/>
          <c:order val="5"/>
          <c:tx>
            <c:strRef>
              <c:f>'📊 Progress'!$AA$32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8779D9E5-4397-44DD-9091-69B8487F801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CA198B94-5CAD-408D-B50C-3DD8BF718A8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688B07A1-18EC-46E6-B1BD-1D1B0306FCB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B8375A4B-512B-4BC9-91FD-2A06E519524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6D767613-B374-4C82-A214-F04E6D5AB61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5C1A6700-7E50-4D23-BE24-9D046416C1E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Progress'!$AA$33:$AA$38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Progress'!$K$33:$K$38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20-54EE-422A-8173-85E89CCAC774}"/>
            </c:ext>
          </c:extLst>
        </c:ser>
        <c:ser>
          <c:idx val="7"/>
          <c:order val="7"/>
          <c:tx>
            <c:strRef>
              <c:f>'📊 Progress'!$AC$32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3200D0D4-638A-412D-B903-53A6B9D106E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5BB1539A-00CD-48A1-9521-F175AD94E03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5809627A-C697-4140-8E98-A7FBB8140D8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9D9E5842-B941-4182-BBBD-6CC6B716031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C0F4BE26-9B72-401B-B7F2-B37E5FD3CFC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4684EB54-374A-40F9-8DB7-1134E3C79A5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Progress'!$AC$33:$AC$38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Progress'!$R$33:$R$38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Progress'!$V$32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9649B16B-8B15-4A4D-B69E-50D675D5C5C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6D80CF16-7C11-41D1-AA4C-E3F39ABCBA1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56320590-434B-4564-ADF6-DD70E7FD818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1CDA9794-59F6-4C5B-B3A1-E0911B3B038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DCC7788C-F758-4041-92C8-327FD9BD871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FAB832D7-7D26-4074-8F86-040AE66E8E5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1-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Progress'!$V$33:$V$38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Progress'!$N$33:$N$38</c15:f>
                <c15:dlblRangeCache>
                  <c:ptCount val="6"/>
                </c15:dlblRangeCache>
              </c15:datalabelsRange>
            </c:ext>
            <c:ext xmlns:c16="http://schemas.microsoft.com/office/drawing/2014/chart" uri="{C3380CC4-5D6E-409C-BE32-E72D297353CC}">
              <c16:uniqueId val="{00000036-54EE-422A-8173-85E89CCAC774}"/>
            </c:ext>
          </c:extLst>
        </c:ser>
        <c:ser>
          <c:idx val="2"/>
          <c:order val="2"/>
          <c:tx>
            <c:strRef>
              <c:f>'📊 Progress'!$X$32</c:f>
              <c:strCache>
                <c:ptCount val="1"/>
                <c:pt idx="0">
                  <c:v>Practice(D)</c:v>
                </c:pt>
              </c:strCache>
            </c:strRef>
          </c:tx>
          <c:spPr>
            <a:solidFill>
              <a:srgbClr val="EC7524"/>
            </a:solidFill>
            <a:ln>
              <a:noFill/>
            </a:ln>
            <a:effectLst/>
          </c:spPr>
          <c:invertIfNegative val="0"/>
          <c:dLbls>
            <c:dLbl>
              <c:idx val="0"/>
              <c:tx>
                <c:rich>
                  <a:bodyPr/>
                  <a:lstStyle/>
                  <a:p>
                    <a:fld id="{35165EA9-A006-487E-906F-FFA6AC07C6C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DFB5C865-2EA5-4CA7-948B-2AC55DE77FD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15441566-AB53-416E-BACF-2210F99C482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7B28980F-39C9-40EC-9D4E-1AB6861B2EE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606871C8-EB5D-47A4-9DBB-007B15A3BDF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2FF939B2-B72C-4600-B5EB-9B824F3AAA8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Progress'!$X$33:$X$38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Progress'!$L$33:$L$38</c15:f>
                <c15:dlblRangeCache>
                  <c:ptCount val="6"/>
                </c15:dlblRangeCache>
              </c15:datalabelsRange>
            </c:ext>
            <c:ext xmlns:c16="http://schemas.microsoft.com/office/drawing/2014/chart" uri="{C3380CC4-5D6E-409C-BE32-E72D297353CC}">
              <c16:uniqueId val="{00000041-54EE-422A-8173-85E89CCAC774}"/>
            </c:ext>
          </c:extLst>
        </c:ser>
        <c:ser>
          <c:idx val="4"/>
          <c:order val="4"/>
          <c:tx>
            <c:strRef>
              <c:f>'📊 Progress'!$Z$32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F198516C-2BAC-4F7A-BEB4-ADFE461FE65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4A983756-1014-41D1-AE60-E6EB9D5A360E}"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EC369DF0-A5AC-4F70-B6F5-92873F8ED9D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B11641C5-03A0-4A68-B1C2-72826B16F71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0FFA006C-71AB-4910-9398-47F7121CB22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8D674583-8065-4E13-857C-78CFE7BBF3E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Progress'!$Z$33:$Z$38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Progress'!$H$33:$H$38</c15:f>
                <c15:dlblRangeCache>
                  <c:ptCount val="6"/>
                </c15:dlblRangeCache>
              </c15:datalabelsRange>
            </c:ext>
            <c:ext xmlns:c16="http://schemas.microsoft.com/office/drawing/2014/chart" uri="{C3380CC4-5D6E-409C-BE32-E72D297353CC}">
              <c16:uniqueId val="{0000004C-54EE-422A-8173-85E89CCAC774}"/>
            </c:ext>
          </c:extLst>
        </c:ser>
        <c:ser>
          <c:idx val="6"/>
          <c:order val="6"/>
          <c:tx>
            <c:strRef>
              <c:f>'📊 Progress'!$AB$32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89BE0D74-FA9A-4173-B99F-B46A525ECA6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F6A006D1-FFAE-41C4-AAE4-7D63D737E2E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161AE9C6-28C7-4D81-B838-24B718E85BE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F4726866-B4B4-4553-A61D-097EC64A475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D06DAC39-7656-48B2-A631-C495885EBAA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2D471BAA-A0D0-494D-BEE8-503E67FD4FD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Progress'!$AB$33:$AB$38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Progress'!$Q$33:$Q$38</c15:f>
                <c15:dlblRangeCache>
                  <c:ptCount val="6"/>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Progress'!$AD$32</c:f>
              <c:strCache>
                <c:ptCount val="1"/>
                <c:pt idx="0">
                  <c:v>Confidence</c:v>
                </c:pt>
              </c:strCache>
            </c:strRef>
          </c:tx>
          <c:spPr>
            <a:ln w="57150" cap="rnd">
              <a:solidFill>
                <a:schemeClr val="bg1"/>
              </a:solidFill>
              <a:round/>
            </a:ln>
            <a:effectLst/>
          </c:spPr>
          <c:marker>
            <c:symbol val="none"/>
          </c:marker>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Progress'!$AD$33:$AD$38</c:f>
              <c:numCache>
                <c:formatCode>0%</c:formatCode>
                <c:ptCount val="6"/>
                <c:pt idx="0">
                  <c:v>0.47796610169491521</c:v>
                </c:pt>
                <c:pt idx="1">
                  <c:v>0.47415730337078649</c:v>
                </c:pt>
                <c:pt idx="2">
                  <c:v>0.50833333333333353</c:v>
                </c:pt>
                <c:pt idx="3">
                  <c:v>0.49552238805970139</c:v>
                </c:pt>
                <c:pt idx="4">
                  <c:v>0.44615384615384618</c:v>
                </c:pt>
                <c:pt idx="5">
                  <c:v>0.54</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Progress'!$B$33:$B$38</c:f>
              <c:numCache>
                <c:formatCode>0.0;\-0.0;;@</c:formatCode>
                <c:ptCount val="6"/>
                <c:pt idx="0">
                  <c:v>2.5</c:v>
                </c:pt>
                <c:pt idx="1">
                  <c:v>2.5</c:v>
                </c:pt>
                <c:pt idx="2">
                  <c:v>2.5</c:v>
                </c:pt>
                <c:pt idx="3">
                  <c:v>2.5</c:v>
                </c:pt>
                <c:pt idx="4">
                  <c:v>2.5</c:v>
                </c:pt>
                <c:pt idx="5">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4.2262552659900775E-2"/>
                  <c:y val="5.4350234403786467E-2"/>
                </c:manualLayout>
              </c:layout>
              <c:tx>
                <c:rich>
                  <a:bodyPr/>
                  <a:lstStyle/>
                  <a:p>
                    <a:fld id="{BED38C58-09E3-40CE-B120-1EAC4417205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tx>
                <c:rich>
                  <a:bodyPr/>
                  <a:lstStyle/>
                  <a:p>
                    <a:fld id="{AC178078-9E94-4F38-8971-2B459CEA5337}"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77-4FB0-9F37-13FB91287652}"/>
                </c:ext>
              </c:extLst>
            </c:dLbl>
            <c:dLbl>
              <c:idx val="2"/>
              <c:layout>
                <c:manualLayout>
                  <c:x val="3.1129570723994358E-3"/>
                  <c:y val="-5.6553979515063739E-2"/>
                </c:manualLayout>
              </c:layout>
              <c:tx>
                <c:rich>
                  <a:bodyPr/>
                  <a:lstStyle/>
                  <a:p>
                    <a:fld id="{BB6FE63D-DE35-4373-84E9-B212AF78F73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1.5809351132704708E-3"/>
                  <c:y val="-5.2607354904036455E-3"/>
                </c:manualLayout>
              </c:layout>
              <c:tx>
                <c:rich>
                  <a:bodyPr/>
                  <a:lstStyle/>
                  <a:p>
                    <a:fld id="{3F1D930D-2742-4C33-84AB-E9E9ECEE89D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dLbl>
              <c:idx val="4"/>
              <c:layout>
                <c:manualLayout>
                  <c:x val="-2.4946372591635856E-2"/>
                  <c:y val="5.3191881069636855E-2"/>
                </c:manualLayout>
              </c:layout>
              <c:tx>
                <c:rich>
                  <a:bodyPr/>
                  <a:lstStyle/>
                  <a:p>
                    <a:fld id="{D3B463E5-D673-4993-9CA9-BD8FAD24ACA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77-4FB0-9F37-13FB91287652}"/>
                </c:ext>
              </c:extLst>
            </c:dLbl>
            <c:dLbl>
              <c:idx val="5"/>
              <c:tx>
                <c:rich>
                  <a:bodyPr/>
                  <a:lstStyle/>
                  <a:p>
                    <a:fld id="{D269E784-A5A2-4B9D-B041-B466B3551902}"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77-4FB0-9F37-13FB91287652}"/>
                </c:ext>
              </c:extLst>
            </c:dLbl>
            <c:dLbl>
              <c:idx val="7"/>
              <c:layout>
                <c:manualLayout>
                  <c:x val="-6.1829020945537036E-2"/>
                  <c:y val="5.04956078503263E-2"/>
                </c:manualLayout>
              </c:layout>
              <c:tx>
                <c:rich>
                  <a:bodyPr/>
                  <a:lstStyle/>
                  <a:p>
                    <a:fld id="{50693B7E-531B-4B3E-8782-5172178CC4D5}"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0.1211058219426742"/>
                  <c:y val="-4.9724682539634364E-2"/>
                </c:manualLayout>
              </c:layout>
              <c:tx>
                <c:rich>
                  <a:bodyPr/>
                  <a:lstStyle/>
                  <a:p>
                    <a:fld id="{8C94647B-12A0-45CB-B059-5C1D8CFBC671}"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Progress'!$J$33:$J$38</c:f>
              <c:numCache>
                <c:formatCode>0.0;\-0.0;;@</c:formatCode>
                <c:ptCount val="6"/>
                <c:pt idx="0">
                  <c:v>2.3898305084745761</c:v>
                </c:pt>
                <c:pt idx="1">
                  <c:v>2.3707865168539324</c:v>
                </c:pt>
                <c:pt idx="2">
                  <c:v>2.5416666666666674</c:v>
                </c:pt>
                <c:pt idx="3">
                  <c:v>2.4776119402985071</c:v>
                </c:pt>
                <c:pt idx="4">
                  <c:v>2.2307692307692308</c:v>
                </c:pt>
                <c:pt idx="5">
                  <c:v>2.7</c:v>
                </c:pt>
              </c:numCache>
            </c:numRef>
          </c:val>
          <c:smooth val="0"/>
          <c:extLst>
            <c:ext xmlns:c15="http://schemas.microsoft.com/office/drawing/2012/chart" uri="{02D57815-91ED-43cb-92C2-25804820EDAC}">
              <c15:datalabelsRange>
                <c15:f>'📊 Progress'!$C$33:$C$38</c15:f>
                <c15:dlblRangeCache>
                  <c:ptCount val="6"/>
                  <c:pt idx="0">
                    <c:v>Market Risk</c:v>
                  </c:pt>
                  <c:pt idx="1">
                    <c:v>Credit Risk</c:v>
                  </c:pt>
                  <c:pt idx="2">
                    <c:v>Operational Risk</c:v>
                  </c:pt>
                  <c:pt idx="3">
                    <c:v>Liquidity Risk</c:v>
                  </c:pt>
                  <c:pt idx="4">
                    <c:v>Investment Risk</c:v>
                  </c:pt>
                  <c:pt idx="5">
                    <c:v>Current Issues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B8E48FE3-CFB5-49B2-8B0D-036A13CB88AC}"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0.46607669616519171</c:v>
                </c:pt>
              </c:numCache>
            </c:numRef>
          </c:val>
          <c:extLst>
            <c:ext xmlns:c15="http://schemas.microsoft.com/office/drawing/2012/chart" uri="{02D57815-91ED-43cb-92C2-25804820EDAC}">
              <c15:datalabelsRange>
                <c15:f>Working!$J$4</c15:f>
                <c15:dlblRangeCache>
                  <c:ptCount val="1"/>
                  <c:pt idx="0">
                    <c:v>317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5AF9FF13-5666-415D-A61B-8BB34C21F1C8}"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0.49410029498525077</c:v>
                </c:pt>
              </c:numCache>
            </c:numRef>
          </c:val>
          <c:extLst>
            <c:ext xmlns:c15="http://schemas.microsoft.com/office/drawing/2012/chart" uri="{02D57815-91ED-43cb-92C2-25804820EDAC}">
              <c15:datalabelsRange>
                <c15:f>Working!$J$5</c15:f>
                <c15:dlblRangeCache>
                  <c:ptCount val="1"/>
                  <c:pt idx="0">
                    <c:v>335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7.3746312684365156E-3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2A12B9C5-820F-49CF-A215-85C12AF83ECD}"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3.0973451327433676E-2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B86FC869-6980-4507-87B0-8BABF16585E5}"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1.4749262536873156E-3</c:v>
                </c:pt>
              </c:numCache>
            </c:numRef>
          </c:val>
          <c:extLst>
            <c:ext xmlns:c15="http://schemas.microsoft.com/office/drawing/2012/chart" uri="{02D57815-91ED-43cb-92C2-25804820EDAC}">
              <c15:datalabelsRange>
                <c15:f>Working!$K$3</c15:f>
                <c15:dlblRangeCache>
                  <c:ptCount val="1"/>
                  <c:pt idx="0">
                    <c:v>Start 
11-Jan-24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1696C872-CDE7-422F-B333-E9E9BB357095}"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0.46755162241887904</c:v>
                </c:pt>
              </c:numCache>
            </c:numRef>
          </c:val>
          <c:extLst>
            <c:ext xmlns:c15="http://schemas.microsoft.com/office/drawing/2012/chart" uri="{02D57815-91ED-43cb-92C2-25804820EDAC}">
              <c15:datalabelsRange>
                <c15:f>Working!$K$4</c15:f>
                <c15:dlblRangeCache>
                  <c:ptCount val="1"/>
                  <c:pt idx="0">
                    <c:v>Today 23-Nov-24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0.96165191740412981</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0.96902654867256632</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19-Nov-25</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C52A8CE4-F73E-499F-8895-E7E704126FF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F3F3C5C7-FB26-4735-94CD-772F229B6AF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9FB3CF76-33E2-4823-B865-4BBA9E30D49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E089A72F-DFCF-4390-A342-2D91E02218D4}"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Working!$E$47:$E$50</c15:f>
                <c15:dlblRangeCache>
                  <c:ptCount val="4"/>
                  <c:pt idx="2">
                    <c:v>Extra Undone, 50</c:v>
                  </c:pt>
                  <c:pt idx="3">
                    <c:v>Undone, 53</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[FRM Part 2 Performance Tracker '24.xlsx]Working!PivotTable1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accent2">
              <a:tint val="77000"/>
            </a:schemeClr>
          </a:solidFill>
          <a:ln w="19050">
            <a:noFill/>
          </a:ln>
          <a:effectLst/>
        </c:spPr>
      </c:pivotFmt>
    </c:pivotFmts>
    <c:plotArea>
      <c:layout/>
      <c:doughnutChart>
        <c:varyColors val="1"/>
        <c:ser>
          <c:idx val="0"/>
          <c:order val="0"/>
          <c:tx>
            <c:strRef>
              <c:f>Working!$C$77</c:f>
              <c:strCache>
                <c:ptCount val="1"/>
                <c:pt idx="0">
                  <c:v>Total</c:v>
                </c:pt>
              </c:strCache>
            </c:strRef>
          </c:tx>
          <c:spPr>
            <a:ln>
              <a:noFill/>
            </a:ln>
          </c:spPr>
          <c:dPt>
            <c:idx val="0"/>
            <c:bubble3D val="0"/>
            <c:spPr>
              <a:solidFill>
                <a:schemeClr val="bg1">
                  <a:lumMod val="85000"/>
                </a:schemeClr>
              </a:solidFill>
              <a:ln w="19050">
                <a:solidFill>
                  <a:schemeClr val="tx1">
                    <a:lumMod val="50000"/>
                    <a:lumOff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accent2">
                  <a:tint val="30000"/>
                </a:schemeClr>
              </a:solidFill>
              <a:ln w="19050">
                <a:no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103</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[FRM Part 2 Performance Tracker '24.xlsx]Working!PivotTable2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4">
              <a:tint val="77000"/>
            </a:schemeClr>
          </a:solidFill>
          <a:ln w="19050">
            <a:noFill/>
          </a:ln>
          <a:effectLst/>
        </c:spPr>
      </c:pivotFmt>
    </c:pivotFmts>
    <c:plotArea>
      <c:layout/>
      <c:doughnutChart>
        <c:varyColors val="1"/>
        <c:ser>
          <c:idx val="0"/>
          <c:order val="0"/>
          <c:tx>
            <c:strRef>
              <c:f>Working!$C$82</c:f>
              <c:strCache>
                <c:ptCount val="1"/>
                <c:pt idx="0">
                  <c:v>Total</c:v>
                </c:pt>
              </c:strCache>
            </c:strRef>
          </c:tx>
          <c:spPr>
            <a:ln>
              <a:no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A00C-47CB-86B5-6A209CE71263}"/>
              </c:ext>
            </c:extLst>
          </c:dPt>
          <c:dPt>
            <c:idx val="1"/>
            <c:bubble3D val="0"/>
            <c:spPr>
              <a:solidFill>
                <a:schemeClr val="accent4">
                  <a:tint val="30000"/>
                </a:schemeClr>
              </a:solidFill>
              <a:ln w="19050">
                <a:noFill/>
              </a:ln>
              <a:effectLst/>
            </c:spPr>
            <c:extLst>
              <c:ext xmlns:c16="http://schemas.microsoft.com/office/drawing/2014/chart" uri="{C3380CC4-5D6E-409C-BE32-E72D297353CC}">
                <c16:uniqueId val="{00000003-A00C-47CB-86B5-6A209CE712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103</c:v>
                </c:pt>
              </c:numCache>
            </c:numRef>
          </c:val>
          <c:extLst>
            <c:ext xmlns:c16="http://schemas.microsoft.com/office/drawing/2014/chart" uri="{C3380CC4-5D6E-409C-BE32-E72D297353CC}">
              <c16:uniqueId val="{00000004-A00C-47CB-86B5-6A209CE71263}"/>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[FRM Part 2 Performance Tracker '24.xlsx]Working!PivotTable3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3"/>
          </a:solidFill>
          <a:ln w="19050">
            <a:noFill/>
          </a:ln>
          <a:effectLst/>
        </c:spPr>
      </c:pivotFmt>
    </c:pivotFmts>
    <c:plotArea>
      <c:layout/>
      <c:doughnutChart>
        <c:varyColors val="1"/>
        <c:ser>
          <c:idx val="0"/>
          <c:order val="0"/>
          <c:tx>
            <c:strRef>
              <c:f>Working!$C$87</c:f>
              <c:strCache>
                <c:ptCount val="1"/>
                <c:pt idx="0">
                  <c:v>Total</c:v>
                </c:pt>
              </c:strCache>
            </c:strRef>
          </c:tx>
          <c:spPr>
            <a:ln>
              <a:no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DCC4-4F83-805B-644ACD4A3ED3}"/>
              </c:ext>
            </c:extLst>
          </c:dPt>
          <c:dPt>
            <c:idx val="1"/>
            <c:bubble3D val="0"/>
            <c:spPr>
              <a:solidFill>
                <a:schemeClr val="accent3">
                  <a:tint val="30000"/>
                </a:schemeClr>
              </a:solidFill>
              <a:ln w="19050">
                <a:noFill/>
              </a:ln>
              <a:effectLst/>
            </c:spPr>
            <c:extLst>
              <c:ext xmlns:c16="http://schemas.microsoft.com/office/drawing/2014/chart" uri="{C3380CC4-5D6E-409C-BE32-E72D297353CC}">
                <c16:uniqueId val="{00000003-DCC4-4F83-805B-644ACD4A3E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103</c:v>
                </c:pt>
              </c:numCache>
            </c:numRef>
          </c:val>
          <c:extLst>
            <c:ext xmlns:c16="http://schemas.microsoft.com/office/drawing/2014/chart" uri="{C3380CC4-5D6E-409C-BE32-E72D297353CC}">
              <c16:uniqueId val="{00000004-DCC4-4F83-805B-644ACD4A3ED3}"/>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[FRM Part 2 Performance Tracker '24.xlsx]Working!PivotTable4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5">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1">
              <a:lumMod val="60000"/>
              <a:lumOff val="40000"/>
            </a:schemeClr>
          </a:solidFill>
          <a:ln w="19050">
            <a:noFill/>
          </a:ln>
          <a:effectLst/>
        </c:spPr>
      </c:pivotFmt>
    </c:pivotFmts>
    <c:plotArea>
      <c:layout/>
      <c:doughnutChart>
        <c:varyColors val="1"/>
        <c:ser>
          <c:idx val="0"/>
          <c:order val="0"/>
          <c:tx>
            <c:strRef>
              <c:f>Working!$C$92</c:f>
              <c:strCache>
                <c:ptCount val="1"/>
                <c:pt idx="0">
                  <c:v>Total</c:v>
                </c:pt>
              </c:strCache>
            </c:strRef>
          </c:tx>
          <c:spPr>
            <a:solidFill>
              <a:schemeClr val="accent1">
                <a:lumMod val="60000"/>
                <a:lumOff val="40000"/>
              </a:schemeClr>
            </a:solidFill>
            <a:ln>
              <a:noFill/>
            </a:ln>
          </c:spPr>
          <c:dPt>
            <c:idx val="0"/>
            <c:bubble3D val="0"/>
            <c:spPr>
              <a:solidFill>
                <a:schemeClr val="accent5">
                  <a:lumMod val="20000"/>
                  <a:lumOff val="80000"/>
                </a:schemeClr>
              </a:solidFill>
              <a:ln w="19050">
                <a:solidFill>
                  <a:schemeClr val="accent1">
                    <a:lumMod val="60000"/>
                    <a:lumOff val="40000"/>
                  </a:schemeClr>
                </a:solidFill>
              </a:ln>
              <a:effectLst/>
            </c:spPr>
            <c:extLst>
              <c:ext xmlns:c16="http://schemas.microsoft.com/office/drawing/2014/chart" uri="{C3380CC4-5D6E-409C-BE32-E72D297353CC}">
                <c16:uniqueId val="{00000001-6A47-4273-9569-0E9280344B5A}"/>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6A47-4273-9569-0E9280344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103</c:v>
                </c:pt>
              </c:numCache>
            </c:numRef>
          </c:val>
          <c:extLst>
            <c:ext xmlns:c16="http://schemas.microsoft.com/office/drawing/2014/chart" uri="{C3380CC4-5D6E-409C-BE32-E72D297353CC}">
              <c16:uniqueId val="{00000004-6A47-4273-9569-0E9280344B5A}"/>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[FRM Part 2 Performance Tracker '24.xlsx]Working!PivotTable5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4">
              <a:lumMod val="20000"/>
              <a:lumOff val="8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noFill/>
          </a:ln>
          <a:effectLst/>
        </c:spPr>
      </c:pivotFmt>
    </c:pivotFmts>
    <c:plotArea>
      <c:layout/>
      <c:doughnutChart>
        <c:varyColors val="1"/>
        <c:ser>
          <c:idx val="0"/>
          <c:order val="0"/>
          <c:tx>
            <c:strRef>
              <c:f>Working!$C$97</c:f>
              <c:strCache>
                <c:ptCount val="1"/>
                <c:pt idx="0">
                  <c:v>Total</c:v>
                </c:pt>
              </c:strCache>
            </c:strRef>
          </c:tx>
          <c:spPr>
            <a:solidFill>
              <a:schemeClr val="accent4">
                <a:lumMod val="20000"/>
                <a:lumOff val="80000"/>
              </a:schemeClr>
            </a:solidFill>
            <a:ln>
              <a:no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1-A1B7-467A-9265-32EF9DA34F77}"/>
              </c:ext>
            </c:extLst>
          </c:dPt>
          <c:dPt>
            <c:idx val="1"/>
            <c:bubble3D val="0"/>
            <c:spPr>
              <a:solidFill>
                <a:schemeClr val="accent4">
                  <a:lumMod val="20000"/>
                  <a:lumOff val="80000"/>
                </a:schemeClr>
              </a:solidFill>
              <a:ln w="19050">
                <a:noFill/>
              </a:ln>
              <a:effectLst/>
            </c:spPr>
            <c:extLst>
              <c:ext xmlns:c16="http://schemas.microsoft.com/office/drawing/2014/chart" uri="{C3380CC4-5D6E-409C-BE32-E72D297353CC}">
                <c16:uniqueId val="{00000003-A1B7-467A-9265-32EF9DA34F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103</c:v>
                </c:pt>
              </c:numCache>
            </c:numRef>
          </c:val>
          <c:extLst>
            <c:ext xmlns:c16="http://schemas.microsoft.com/office/drawing/2014/chart" uri="{C3380CC4-5D6E-409C-BE32-E72D297353CC}">
              <c16:uniqueId val="{00000004-A1B7-467A-9265-32EF9DA34F7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EBE7AB40-7FAB-4761-B744-7D124E1785A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2D9DB717-E4A1-46B0-B2D1-776072793DF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FAA52CD8-E081-49D2-93C8-9FF97B8FAB4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96D1D720-06EE-45F1-BB87-35E4D56FC68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Working!$E$54:$E$57</c15:f>
                <c15:dlblRangeCache>
                  <c:ptCount val="4"/>
                  <c:pt idx="2">
                    <c:v>Extra Undone, 92</c:v>
                  </c:pt>
                  <c:pt idx="3">
                    <c:v>Undone, 97</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D0B21E3B-ED6F-4B16-BF51-D7CB5FC716A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ABA92EB8-E3C3-4CF6-A534-628344C2B5A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2B761387-9B46-42CB-9AAA-D12E6DF0E45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EFD10F51-7034-4BBF-974F-984691DC361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Working!$E$61:$E$64</c15:f>
                <c15:dlblRangeCache>
                  <c:ptCount val="4"/>
                  <c:pt idx="2">
                    <c:v>Extra Undone, 250</c:v>
                  </c:pt>
                  <c:pt idx="3">
                    <c:v>Undone, 264</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520C65A6-61C0-44C0-B07A-532A812844D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3DD364B3-229E-4470-8C75-290C79E2515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5F3CE40A-C27E-46A2-A172-1CCA2C16C22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E96DEDAD-29A2-43D9-ADA9-BDCB41B498D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0.48619631901840499</c:v>
                </c:pt>
                <c:pt idx="3">
                  <c:v>0.51380368098159501</c:v>
                </c:pt>
              </c:numCache>
            </c:numRef>
          </c:val>
          <c:extLst>
            <c:ext xmlns:c15="http://schemas.microsoft.com/office/drawing/2012/chart" uri="{02D57815-91ED-43cb-92C2-25804820EDAC}">
              <c15:datalabelsRange>
                <c15:f>Working!$E$68:$E$71</c15:f>
                <c15:dlblRangeCache>
                  <c:ptCount val="4"/>
                  <c:pt idx="2">
                    <c:v>Extra Undone, 342</c:v>
                  </c:pt>
                  <c:pt idx="3">
                    <c:v>Undone, 362</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E9C08697-1053-42D9-AE84-2D7AC50DD9A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B4DFD0A7-4279-49C6-B076-A8CBAEC7E8D1}"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4BD71A2B-4945-47F9-AA92-5B97D98734EA}"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2B22067E-9924-4AB6-B810-9852ECA774A9}"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Working!$E$47:$E$50</c15:f>
                <c15:dlblRangeCache>
                  <c:ptCount val="4"/>
                  <c:pt idx="2">
                    <c:v>Extra Undone, 50</c:v>
                  </c:pt>
                  <c:pt idx="3">
                    <c:v>Undone, 53</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CE5CDDE2-04FA-447C-BF91-8B121D27A2F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2D10D2F-840D-4AB6-ACA8-F093543034B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D149368C-CEA7-428F-A1E3-DDBDF8FBEFFC}"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26EE2544-38E2-42B7-BFA0-1EDABFA7F7A0}"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Working!$E$54:$E$57</c15:f>
                <c15:dlblRangeCache>
                  <c:ptCount val="4"/>
                  <c:pt idx="2">
                    <c:v>Extra Undone, 92</c:v>
                  </c:pt>
                  <c:pt idx="3">
                    <c:v>Undone, 97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BB31BC9-4F74-4868-A635-18C5BB516AA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3832889D-1863-4AFC-AA87-AB1FF2F68F8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2D590861-8E9F-4675-9894-142C58E23CC6}"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25AA449-1FC8-4FA9-AC2B-3ADC01AC72A6}"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Working!$E$61:$E$64</c15:f>
                <c15:dlblRangeCache>
                  <c:ptCount val="4"/>
                  <c:pt idx="2">
                    <c:v>Extra Undone, 250</c:v>
                  </c:pt>
                  <c:pt idx="3">
                    <c:v>Undone, 264</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EC674D56-D81D-4563-B7D1-45BB3200A1E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93499C3-B741-45F3-82B5-7A199A608A7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0880991A-6283-44CE-8C54-918AD278AA83}"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F19F37B-1AF6-4B3D-B2BC-C4B63CE90A3E}"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0.48619631901840499</c:v>
                </c:pt>
                <c:pt idx="3">
                  <c:v>0.51380368098159501</c:v>
                </c:pt>
              </c:numCache>
            </c:numRef>
          </c:val>
          <c:extLst>
            <c:ext xmlns:c15="http://schemas.microsoft.com/office/drawing/2012/chart" uri="{02D57815-91ED-43cb-92C2-25804820EDAC}">
              <c15:datalabelsRange>
                <c15:f>Working!$E$68:$E$71</c15:f>
                <c15:dlblRangeCache>
                  <c:ptCount val="4"/>
                  <c:pt idx="2">
                    <c:v>Extra Undone, 342</c:v>
                  </c:pt>
                  <c:pt idx="3">
                    <c:v>Undone, 362</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wa.me/+919831779747"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hyperlink" Target="https://youtu.be/zzWlw3wJrg8" TargetMode="External"/><Relationship Id="rId5" Type="http://schemas.openxmlformats.org/officeDocument/2006/relationships/image" Target="../media/image3.png"/><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6"/>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twoCellAnchor>
    <xdr:from>
      <xdr:col>3</xdr:col>
      <xdr:colOff>1037168</xdr:colOff>
      <xdr:row>8</xdr:row>
      <xdr:rowOff>232834</xdr:rowOff>
    </xdr:from>
    <xdr:to>
      <xdr:col>3</xdr:col>
      <xdr:colOff>2512051</xdr:colOff>
      <xdr:row>9</xdr:row>
      <xdr:rowOff>158483</xdr:rowOff>
    </xdr:to>
    <xdr:sp macro="" textlink="">
      <xdr:nvSpPr>
        <xdr:cNvPr id="3" name="Text Box 2">
          <a:hlinkClick xmlns:r="http://schemas.openxmlformats.org/officeDocument/2006/relationships" r:id="rId7"/>
          <a:extLst>
            <a:ext uri="{FF2B5EF4-FFF2-40B4-BE49-F238E27FC236}">
              <a16:creationId xmlns:a16="http://schemas.microsoft.com/office/drawing/2014/main" id="{BA2C6785-EBFD-47BB-BF17-E603B9399A41}"/>
            </a:ext>
          </a:extLst>
        </xdr:cNvPr>
        <xdr:cNvSpPr txBox="1">
          <a:spLocks noChangeArrowheads="1"/>
        </xdr:cNvSpPr>
      </xdr:nvSpPr>
      <xdr:spPr bwMode="auto">
        <a:xfrm>
          <a:off x="3143251" y="1756834"/>
          <a:ext cx="1474883" cy="169066"/>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+91 98317 79747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13</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23663</xdr:rowOff>
    </xdr:from>
    <xdr:to>
      <xdr:col>5</xdr:col>
      <xdr:colOff>19050</xdr:colOff>
      <xdr:row>46</xdr:row>
      <xdr:rowOff>157131</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619.525539351853" createdVersion="7" refreshedVersion="8" minRefreshableVersion="3" recordCount="103" xr:uid="{FC0E6DB8-2D29-449C-9177-1A77E9689797}">
  <cacheSource type="worksheet">
    <worksheetSource name="Master_Data"/>
  </cacheSource>
  <cacheFields count="32">
    <cacheField name="Order of Study" numFmtId="3">
      <sharedItems containsSemiMixedTypes="0" containsString="0" containsNumber="1" containsInteger="1" minValue="1" maxValue="103"/>
    </cacheField>
    <cacheField name="Schedule" numFmtId="3">
      <sharedItems/>
    </cacheField>
    <cacheField name="Column1" numFmtId="3">
      <sharedItems/>
    </cacheField>
    <cacheField name="Column2" numFmtId="0">
      <sharedItems containsSemiMixedTypes="0" containsNonDate="0" containsDate="1" containsString="0" minDate="1899-12-30T01:29:20" maxDate="1900-01-07T13:06:44"/>
    </cacheField>
    <cacheField name="undone duration" numFmtId="0">
      <sharedItems containsSemiMixedTypes="0" containsDate="1" containsString="0" containsMixedTypes="1" minDate="1899-12-30T00:25:15" maxDate="1899-12-30T04:15:34"/>
    </cacheField>
    <cacheField name="Subject" numFmtId="0">
      <sharedItems count="19">
        <s v="Investment Risk"/>
        <s v="Market Risk"/>
        <s v="Credit Risk"/>
        <s v="Liquidity Risk"/>
        <s v="Operational Risk"/>
        <s v="Current Issues"/>
        <s v="Risk Mgt. &amp; Investment Mgt." u="1"/>
        <s v="Portfolio" u="1"/>
        <s v="FRA" u="1"/>
        <s v="Quants" u="1"/>
        <s v="Derivatives" u="1"/>
        <s v="Equity" u="1"/>
        <s v="Fixed Income" u="1"/>
        <s v="Corp. Issuers" u="1"/>
        <s v="Alt. Invest." u="1"/>
        <s v="Alt. Investments" u="1"/>
        <s v="Corporate Issuers" u="1"/>
        <s v="Economics" u="1"/>
        <s v="Ethics" u="1"/>
      </sharedItems>
    </cacheField>
    <cacheField name="Reading" numFmtId="0">
      <sharedItems containsSemiMixedTypes="0" containsString="0" containsNumber="1" containsInteger="1" minValue="1" maxValue="103"/>
    </cacheField>
    <cacheField name="Changes" numFmtId="0">
      <sharedItems/>
    </cacheField>
    <cacheField name="Topic" numFmtId="0">
      <sharedItems/>
    </cacheField>
    <cacheField name="No. of LOS" numFmtId="0">
      <sharedItems containsSemiMixedTypes="0" containsString="0" containsNumber="1" containsInteger="1" minValue="2" maxValue="17"/>
    </cacheField>
    <cacheField name="Lengthy" numFmtId="0">
      <sharedItems containsSemiMixedTypes="0" containsString="0" containsNumber="1" containsInteger="1" minValue="1" maxValue="4"/>
    </cacheField>
    <cacheField name="Numerical or Not" numFmtId="0">
      <sharedItems containsSemiMixedTypes="0" containsString="0" containsNumber="1" containsInteger="1" minValue="1" maxValue="4"/>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1" maxValue="5"/>
    </cacheField>
    <cacheField name="Imp. Level" numFmtId="0">
      <sharedItems containsSemiMixedTypes="0" containsString="0" containsNumber="1" containsInteger="1" minValue="1" maxValue="5"/>
    </cacheField>
    <cacheField name="Reqd. Prac." numFmtId="0">
      <sharedItems containsSemiMixedTypes="0" containsString="0" containsNumber="1" containsInteger="1" minValue="2" maxValue="4"/>
    </cacheField>
    <cacheField name="Duration (hh:mm)" numFmtId="20">
      <sharedItems containsSemiMixedTypes="0" containsNonDate="0" containsDate="1" containsString="0" minDate="1899-12-30T00:25:15" maxDate="1899-12-30T04:15:34" count="85">
        <d v="1899-12-30T01:29:20"/>
        <d v="1899-12-30T01:53:26"/>
        <d v="1899-12-30T01:41:58"/>
        <d v="1899-12-30T01:51:27"/>
        <d v="1899-12-30T01:29:08"/>
        <d v="1899-12-30T00:37:40"/>
        <d v="1899-12-30T01:39:16"/>
        <d v="1899-12-30T01:47:06"/>
        <d v="1899-12-30T00:57:12"/>
        <d v="1899-12-30T02:20:25"/>
        <d v="1899-12-30T02:01:27"/>
        <d v="1899-12-30T02:31:29"/>
        <d v="1899-12-30T02:21:05"/>
        <d v="1899-12-30T00:42:46"/>
        <d v="1899-12-30T01:13:56"/>
        <d v="1899-12-30T01:37:20"/>
        <d v="1899-12-30T02:08:18"/>
        <d v="1899-12-30T03:05:00"/>
        <d v="1899-12-30T01:08:34"/>
        <d v="1899-12-30T01:37:00"/>
        <d v="1899-12-30T01:24:25"/>
        <d v="1899-12-30T03:00:59"/>
        <d v="1899-12-30T01:22:48"/>
        <d v="1899-12-30T03:25:13"/>
        <d v="1899-12-30T01:15:44"/>
        <d v="1899-12-30T03:00:00"/>
        <d v="1899-12-30T02:28:14"/>
        <d v="1899-12-30T00:59:41"/>
        <d v="1899-12-30T01:55:41"/>
        <d v="1899-12-30T01:56:13"/>
        <d v="1899-12-30T01:23:35"/>
        <d v="1899-12-30T01:32:27"/>
        <d v="1899-12-30T02:27:37"/>
        <d v="1899-12-30T03:06:05"/>
        <d v="1899-12-30T02:17:07"/>
        <d v="1899-12-30T01:06:42"/>
        <d v="1899-12-30T03:13:43"/>
        <d v="1899-12-30T02:48:59"/>
        <d v="1899-12-30T01:54:31"/>
        <d v="1899-12-30T02:35:55"/>
        <d v="1899-12-30T01:55:21"/>
        <d v="1899-12-30T03:05:54"/>
        <d v="1899-12-30T02:25:01"/>
        <d v="1899-12-30T01:39:23"/>
        <d v="1899-12-30T01:20:43"/>
        <d v="1899-12-30T01:17:18"/>
        <d v="1899-12-30T01:56:12"/>
        <d v="1899-12-30T04:15:34"/>
        <d v="1899-12-30T03:10:39"/>
        <d v="1899-12-30T02:10:46"/>
        <d v="1899-12-30T00:41:52"/>
        <d v="1899-12-30T00:46:27"/>
        <d v="1899-12-30T02:38:05"/>
        <d v="1899-12-30T02:44:41"/>
        <d v="1899-12-30T01:40:57"/>
        <d v="1899-12-30T02:00:02"/>
        <d v="1899-12-30T00:51:44"/>
        <d v="1899-12-30T01:22:43"/>
        <d v="1899-12-30T01:10:46"/>
        <d v="1899-12-30T00:57:42"/>
        <d v="1899-12-30T00:30:01"/>
        <d v="1899-12-30T01:09:35"/>
        <d v="1899-12-30T01:24:39"/>
        <d v="1899-12-30T01:16:56"/>
        <d v="1899-12-30T01:35:50"/>
        <d v="1899-12-30T02:18:33"/>
        <d v="1899-12-30T01:17:55"/>
        <d v="1899-12-30T00:25:15"/>
        <d v="1899-12-30T01:09:11"/>
        <d v="1899-12-30T01:43:14"/>
        <d v="1899-12-30T01:27:06"/>
        <d v="1899-12-30T02:12:35"/>
        <d v="1899-12-30T01:04:19"/>
        <d v="1899-12-30T00:35:46"/>
        <d v="1899-12-30T01:41:48"/>
        <d v="1899-12-30T01:46:51"/>
        <d v="1899-12-30T01:15:07"/>
        <d v="1899-12-30T01:16:08"/>
        <d v="1899-12-30T02:59:48"/>
        <d v="1899-12-30T02:23:57"/>
        <d v="1899-12-30T01:11:38"/>
        <d v="1899-12-30T01:32:11"/>
        <d v="1899-12-30T01:52:34"/>
        <d v="1899-12-30T00:40:59"/>
        <d v="1899-12-30T00:33:26"/>
      </sharedItems>
      <fieldGroup par="31" base="16">
        <rangePr groupBy="seconds" startDate="1899-12-30T00:25:15" endDate="1899-12-30T04:15:34"/>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0.72588989225410461" maxValue="100"/>
    </cacheField>
    <cacheField name="Lectures" numFmtId="17">
      <sharedItems containsNonDate="0" containsBlank="1" count="3">
        <s v="U"/>
        <s v="D" u="1"/>
        <m u="1"/>
      </sharedItems>
    </cacheField>
    <cacheField name="Self Study" numFmtId="17">
      <sharedItems containsNonDate="0" containsBlank="1" count="3">
        <s v="U"/>
        <s v="D" u="1"/>
        <m u="1"/>
      </sharedItems>
    </cacheField>
    <cacheField name="Revision" numFmtId="17">
      <sharedItems containsNonDate="0" containsBlank="1" count="3">
        <s v="U"/>
        <s v="D" u="1"/>
        <m u="1"/>
      </sharedItems>
    </cacheField>
    <cacheField name="Prac. Book" numFmtId="17">
      <sharedItems containsNonDate="0"/>
    </cacheField>
    <cacheField name="GARP EOC Ques." numFmtId="17">
      <sharedItems containsNonDate="0"/>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2.8089887640449437E-3" maxValue="2.1834061135371178E-2"/>
    </cacheField>
    <cacheField name="Subjectwise weights" numFmtId="9">
      <sharedItems containsSemiMixedTypes="0" containsString="0" containsNumber="1" minValue="1.3888888888888888E-2" maxValue="0.12820512820512819"/>
    </cacheField>
    <cacheField name="Subjectwise weighted average" numFmtId="4">
      <sharedItems containsSemiMixedTypes="0" containsString="0" containsNumber="1" minValue="4.1666666666666664E-2" maxValue="0.30000000000000004"/>
    </cacheField>
    <cacheField name="Practice" numFmtId="17">
      <sharedItems containsNonDate="0" count="3">
        <s v="U"/>
        <s v="D" u="1"/>
        <e v="#REF!" u="1"/>
      </sharedItems>
    </cacheField>
    <cacheField name="Extra Practice" numFmtId="17">
      <sharedItems containsNonDate="0" count="3">
        <s v="U"/>
        <s v="D" u="1"/>
        <e v="#REF!" u="1"/>
      </sharedItems>
    </cacheField>
    <cacheField name="Minutes" numFmtId="0" databaseField="0">
      <fieldGroup base="16">
        <rangePr groupBy="minutes" startDate="1899-12-30T00:25:15" endDate="1899-12-30T04:15:34"/>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6">
        <rangePr groupBy="hours" startDate="1899-12-30T00:25:15" endDate="1899-12-30T04:15:34"/>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n v="1"/>
    <e v="#DIV/0!"/>
    <e v="#DIV/0!"/>
    <d v="1899-12-30T01:29:20"/>
    <d v="1899-12-30T01:29:20"/>
    <x v="0"/>
    <n v="83"/>
    <s v="Same"/>
    <s v="Factor Theory"/>
    <n v="6"/>
    <n v="3"/>
    <n v="3"/>
    <n v="3"/>
    <n v="4"/>
    <n v="4"/>
    <n v="3"/>
    <x v="0"/>
    <n v="0.72588989225410461"/>
    <x v="0"/>
    <x v="0"/>
    <x v="0"/>
    <s v="U"/>
    <s v="U"/>
    <n v="2"/>
    <m/>
    <n v="1.1235955056179775E-2"/>
    <n v="0.10256410256410256"/>
    <n v="0.20512820512820512"/>
    <x v="0"/>
    <x v="0"/>
  </r>
  <r>
    <n v="2"/>
    <e v="#DIV/0!"/>
    <e v="#DIV/0!"/>
    <d v="1899-12-30T03:22:46"/>
    <d v="1899-12-30T01:53:26"/>
    <x v="0"/>
    <n v="84"/>
    <s v="Same"/>
    <s v="Factors"/>
    <n v="5"/>
    <n v="3"/>
    <n v="1"/>
    <n v="3"/>
    <n v="4"/>
    <n v="4"/>
    <n v="3"/>
    <x v="1"/>
    <n v="1.6476075427543726"/>
    <x v="0"/>
    <x v="0"/>
    <x v="0"/>
    <s v="U"/>
    <s v="U"/>
    <n v="2"/>
    <m/>
    <n v="1.1235955056179775E-2"/>
    <n v="0.10256410256410256"/>
    <n v="0.20512820512820512"/>
    <x v="0"/>
    <x v="0"/>
  </r>
  <r>
    <n v="3"/>
    <e v="#DIV/0!"/>
    <e v="#DIV/0!"/>
    <d v="1899-12-30T05:04:44"/>
    <d v="1899-12-30T01:41:58"/>
    <x v="0"/>
    <n v="85"/>
    <s v="Same"/>
    <s v="Alpha and the Low-Risk Anomaly"/>
    <n v="9"/>
    <n v="3"/>
    <n v="3"/>
    <n v="3"/>
    <n v="4"/>
    <n v="4"/>
    <n v="3"/>
    <x v="2"/>
    <n v="2.4761512667862027"/>
    <x v="0"/>
    <x v="0"/>
    <x v="0"/>
    <s v="U"/>
    <s v="U"/>
    <n v="2"/>
    <m/>
    <n v="1.1235955056179775E-2"/>
    <n v="0.10256410256410256"/>
    <n v="0.20512820512820512"/>
    <x v="0"/>
    <x v="0"/>
  </r>
  <r>
    <n v="4"/>
    <e v="#DIV/0!"/>
    <e v="#DIV/0!"/>
    <d v="1899-12-30T06:56:11"/>
    <d v="1899-12-30T01:51:27"/>
    <x v="1"/>
    <n v="1"/>
    <s v="Same"/>
    <s v="Estimating Market Risk Measures-An Introduction and Overview"/>
    <n v="6"/>
    <n v="4"/>
    <n v="4"/>
    <n v="4"/>
    <n v="4"/>
    <n v="4"/>
    <n v="4"/>
    <x v="3"/>
    <n v="3.3817530782606795"/>
    <x v="0"/>
    <x v="0"/>
    <x v="0"/>
    <s v="U"/>
    <s v="U"/>
    <n v="2"/>
    <m/>
    <n v="1.1235955056179775E-2"/>
    <n v="6.7796610169491525E-2"/>
    <n v="0.13559322033898305"/>
    <x v="0"/>
    <x v="0"/>
  </r>
  <r>
    <n v="5"/>
    <e v="#DIV/0!"/>
    <e v="#DIV/0!"/>
    <d v="1899-12-30T08:25:19"/>
    <d v="1899-12-30T01:29:08"/>
    <x v="1"/>
    <n v="2"/>
    <s v="Same"/>
    <s v="Non-parametric Approaches"/>
    <n v="4"/>
    <n v="3"/>
    <n v="3"/>
    <n v="4"/>
    <n v="4"/>
    <n v="4"/>
    <n v="3"/>
    <x v="4"/>
    <n v="4.106017843890335"/>
    <x v="0"/>
    <x v="0"/>
    <x v="0"/>
    <s v="U"/>
    <s v="U"/>
    <n v="2"/>
    <m/>
    <n v="1.1235955056179775E-2"/>
    <n v="6.7796610169491525E-2"/>
    <n v="0.13559322033898305"/>
    <x v="0"/>
    <x v="0"/>
  </r>
  <r>
    <n v="6"/>
    <e v="#DIV/0!"/>
    <e v="#DIV/0!"/>
    <d v="1899-12-30T09:02:59"/>
    <d v="1899-12-30T00:37:40"/>
    <x v="1"/>
    <n v="3"/>
    <s v="Same"/>
    <s v="Parametric Approaches II-Extreme Value"/>
    <n v="6"/>
    <n v="2"/>
    <n v="4"/>
    <n v="5"/>
    <n v="5"/>
    <n v="3"/>
    <n v="3"/>
    <x v="5"/>
    <n v="4.412083358161655"/>
    <x v="0"/>
    <x v="0"/>
    <x v="0"/>
    <s v="U"/>
    <s v="U"/>
    <n v="3"/>
    <m/>
    <n v="8.4269662921348312E-3"/>
    <n v="5.0847457627118647E-2"/>
    <n v="0.15254237288135594"/>
    <x v="0"/>
    <x v="0"/>
  </r>
  <r>
    <n v="7"/>
    <e v="#DIV/0!"/>
    <e v="#DIV/0!"/>
    <d v="1899-12-30T10:42:15"/>
    <d v="1899-12-30T01:39:16"/>
    <x v="1"/>
    <n v="4"/>
    <s v="Same"/>
    <s v="Backtesting VaR"/>
    <n v="6"/>
    <n v="4"/>
    <n v="3"/>
    <n v="4"/>
    <n v="5"/>
    <n v="5"/>
    <n v="4"/>
    <x v="6"/>
    <n v="5.2186878727634181"/>
    <x v="0"/>
    <x v="0"/>
    <x v="0"/>
    <s v="U"/>
    <s v="U"/>
    <n v="2"/>
    <m/>
    <n v="1.4044943820224719E-2"/>
    <n v="8.4745762711864403E-2"/>
    <n v="0.16949152542372881"/>
    <x v="0"/>
    <x v="0"/>
  </r>
  <r>
    <n v="8"/>
    <e v="#DIV/0!"/>
    <e v="#DIV/0!"/>
    <d v="1899-12-30T12:29:21"/>
    <d v="1899-12-30T01:47:06"/>
    <x v="1"/>
    <n v="5"/>
    <s v="Same"/>
    <s v="VaR Mapping"/>
    <n v="7"/>
    <n v="4"/>
    <n v="3"/>
    <n v="4"/>
    <n v="4"/>
    <n v="4"/>
    <n v="3"/>
    <x v="7"/>
    <n v="6.0889431801561189"/>
    <x v="0"/>
    <x v="0"/>
    <x v="0"/>
    <s v="U"/>
    <s v="U"/>
    <n v="2"/>
    <m/>
    <n v="1.7467248908296942E-2"/>
    <n v="6.7796610169491525E-2"/>
    <n v="0.13559322033898305"/>
    <x v="0"/>
    <x v="0"/>
  </r>
  <r>
    <n v="9"/>
    <e v="#DIV/0!"/>
    <e v="#DIV/0!"/>
    <d v="1899-12-30T13:26:33"/>
    <d v="1899-12-30T00:57:12"/>
    <x v="1"/>
    <n v="6"/>
    <s v="Same"/>
    <s v="Basel Committee on Banking Supervision"/>
    <n v="6"/>
    <n v="2"/>
    <n v="1"/>
    <n v="3"/>
    <n v="3"/>
    <n v="3"/>
    <n v="3"/>
    <x v="8"/>
    <n v="6.5537293947486726"/>
    <x v="0"/>
    <x v="0"/>
    <x v="0"/>
    <s v="U"/>
    <s v="U"/>
    <n v="3"/>
    <m/>
    <n v="1.3100436681222707E-2"/>
    <n v="5.0847457627118647E-2"/>
    <n v="0.15254237288135594"/>
    <x v="0"/>
    <x v="0"/>
  </r>
  <r>
    <n v="10"/>
    <e v="#DIV/0!"/>
    <e v="#DIV/0!"/>
    <d v="1899-12-30T15:46:58"/>
    <d v="1899-12-30T02:20:25"/>
    <x v="0"/>
    <n v="86"/>
    <s v="Same"/>
    <s v="Portfolio Construction"/>
    <n v="9"/>
    <n v="3"/>
    <n v="2"/>
    <n v="5"/>
    <n v="5"/>
    <n v="3"/>
    <n v="3"/>
    <x v="9"/>
    <n v="7.6947037123309165"/>
    <x v="0"/>
    <x v="0"/>
    <x v="0"/>
    <s v="U"/>
    <s v="U"/>
    <n v="3"/>
    <m/>
    <n v="1.3100436681222707E-2"/>
    <n v="7.6923076923076927E-2"/>
    <n v="0.23076923076923078"/>
    <x v="0"/>
    <x v="0"/>
  </r>
  <r>
    <n v="11"/>
    <e v="#DIV/0!"/>
    <e v="#DIV/0!"/>
    <d v="1899-12-30T17:48:25"/>
    <d v="1899-12-30T02:01:27"/>
    <x v="0"/>
    <n v="87"/>
    <s v="Same"/>
    <s v="Portfolio Risk-Analytical Methods"/>
    <n v="5"/>
    <n v="3"/>
    <n v="4"/>
    <n v="4"/>
    <n v="4"/>
    <n v="5"/>
    <n v="4"/>
    <x v="10"/>
    <n v="8.6815618550278675"/>
    <x v="0"/>
    <x v="0"/>
    <x v="0"/>
    <s v="U"/>
    <s v="U"/>
    <n v="2"/>
    <m/>
    <n v="1.4044943820224719E-2"/>
    <n v="0.12820512820512819"/>
    <n v="0.25641025641025639"/>
    <x v="0"/>
    <x v="0"/>
  </r>
  <r>
    <n v="12"/>
    <e v="#DIV/0!"/>
    <e v="#DIV/0!"/>
    <d v="1899-12-30T20:19:54"/>
    <d v="1899-12-30T02:31:29"/>
    <x v="0"/>
    <n v="88"/>
    <s v="Same"/>
    <s v="VaR and Risk Budgeting in Investment Management"/>
    <n v="8"/>
    <n v="3"/>
    <n v="2"/>
    <n v="3"/>
    <n v="4"/>
    <n v="4"/>
    <n v="3"/>
    <x v="11"/>
    <n v="9.91245984582965"/>
    <x v="0"/>
    <x v="0"/>
    <x v="0"/>
    <s v="U"/>
    <s v="U"/>
    <n v="2"/>
    <m/>
    <n v="1.1235955056179775E-2"/>
    <n v="0.10256410256410256"/>
    <n v="0.20512820512820512"/>
    <x v="0"/>
    <x v="0"/>
  </r>
  <r>
    <n v="13"/>
    <e v="#DIV/0!"/>
    <e v="#DIV/0!"/>
    <d v="1899-12-30T22:40:59"/>
    <d v="1899-12-30T02:21:05"/>
    <x v="1"/>
    <n v="7"/>
    <s v="changes"/>
    <s v="Correlation Basics-Definitions, Applications, and Terminology"/>
    <n v="7"/>
    <n v="4"/>
    <n v="2"/>
    <n v="3"/>
    <n v="4"/>
    <n v="3"/>
    <n v="3"/>
    <x v="12"/>
    <n v="11.058851252160059"/>
    <x v="0"/>
    <x v="0"/>
    <x v="0"/>
    <s v="U"/>
    <s v="U"/>
    <n v="3"/>
    <m/>
    <n v="1.3100436681222707E-2"/>
    <n v="5.0847457627118647E-2"/>
    <n v="0.15254237288135594"/>
    <x v="0"/>
    <x v="0"/>
  </r>
  <r>
    <n v="14"/>
    <e v="#DIV/0!"/>
    <e v="#DIV/0!"/>
    <d v="1899-12-30T23:23:45"/>
    <d v="1899-12-30T00:42:46"/>
    <x v="1"/>
    <n v="8"/>
    <s v="Same"/>
    <s v="Empirical Properties of Correlation-How Do Correlations Behave in the Real World"/>
    <n v="3"/>
    <n v="2"/>
    <n v="4"/>
    <n v="3"/>
    <n v="4"/>
    <n v="3"/>
    <n v="3"/>
    <x v="13"/>
    <n v="11.406357495354843"/>
    <x v="0"/>
    <x v="0"/>
    <x v="0"/>
    <s v="U"/>
    <s v="U"/>
    <n v="3"/>
    <m/>
    <n v="1.3100436681222707E-2"/>
    <n v="5.0847457627118647E-2"/>
    <n v="0.15254237288135594"/>
    <x v="0"/>
    <x v="0"/>
  </r>
  <r>
    <n v="15"/>
    <e v="#DIV/0!"/>
    <e v="#DIV/0!"/>
    <d v="1899-12-31T00:37:41"/>
    <d v="1899-12-30T01:13:56"/>
    <x v="1"/>
    <n v="9"/>
    <s v="Same"/>
    <s v="Financial Correlation Modeling-Bottom-Up Approaches"/>
    <n v="3"/>
    <n v="1"/>
    <n v="2"/>
    <n v="5"/>
    <n v="5"/>
    <n v="3"/>
    <n v="3"/>
    <x v="14"/>
    <n v="12.007112637526337"/>
    <x v="0"/>
    <x v="0"/>
    <x v="0"/>
    <s v="U"/>
    <s v="U"/>
    <n v="2"/>
    <m/>
    <n v="1.3100436681222707E-2"/>
    <n v="5.0847457627118647E-2"/>
    <n v="0.10169491525423729"/>
    <x v="0"/>
    <x v="0"/>
  </r>
  <r>
    <n v="16"/>
    <e v="#DIV/0!"/>
    <e v="#DIV/0!"/>
    <d v="1899-12-31T02:15:01"/>
    <d v="1899-12-30T01:37:20"/>
    <x v="0"/>
    <n v="89"/>
    <s v="Same"/>
    <s v="Risk Monitoring and Performance Measurement"/>
    <n v="10"/>
    <n v="3"/>
    <n v="1"/>
    <n v="3"/>
    <n v="3"/>
    <n v="3"/>
    <n v="3"/>
    <x v="15"/>
    <n v="12.79800759475842"/>
    <x v="0"/>
    <x v="0"/>
    <x v="0"/>
    <s v="U"/>
    <s v="U"/>
    <n v="2"/>
    <m/>
    <n v="1.3100436681222707E-2"/>
    <n v="7.6923076923076927E-2"/>
    <n v="0.15384615384615385"/>
    <x v="0"/>
    <x v="0"/>
  </r>
  <r>
    <n v="17"/>
    <e v="#DIV/0!"/>
    <e v="#DIV/0!"/>
    <d v="1899-12-31T04:23:19"/>
    <d v="1899-12-30T02:08:18"/>
    <x v="0"/>
    <n v="90"/>
    <s v="Same"/>
    <s v="Portfolio Performance Evaluation"/>
    <n v="9"/>
    <n v="4"/>
    <n v="3"/>
    <n v="3"/>
    <n v="4"/>
    <n v="4"/>
    <n v="4"/>
    <x v="16"/>
    <n v="13.840526324342767"/>
    <x v="0"/>
    <x v="0"/>
    <x v="0"/>
    <s v="U"/>
    <s v="U"/>
    <n v="2"/>
    <m/>
    <n v="1.7467248908296942E-2"/>
    <n v="0.10256410256410256"/>
    <n v="0.20512820512820512"/>
    <x v="0"/>
    <x v="0"/>
  </r>
  <r>
    <n v="18"/>
    <e v="#DIV/0!"/>
    <e v="#DIV/0!"/>
    <d v="1899-12-31T07:28:19"/>
    <d v="1899-12-30T03:05:00"/>
    <x v="0"/>
    <n v="91"/>
    <s v="changes"/>
    <s v="Hedge Funds"/>
    <n v="8"/>
    <n v="3"/>
    <n v="1"/>
    <n v="3"/>
    <n v="3"/>
    <n v="3"/>
    <n v="3"/>
    <x v="17"/>
    <n v="15.343768451958544"/>
    <x v="0"/>
    <x v="0"/>
    <x v="0"/>
    <s v="U"/>
    <s v="U"/>
    <n v="3"/>
    <m/>
    <n v="8.4269662921348312E-3"/>
    <n v="7.6923076923076927E-2"/>
    <n v="0.23076923076923078"/>
    <x v="0"/>
    <x v="0"/>
  </r>
  <r>
    <n v="19"/>
    <e v="#DIV/0!"/>
    <e v="#DIV/0!"/>
    <d v="1899-12-31T08:36:53"/>
    <d v="1899-12-30T01:08:34"/>
    <x v="0"/>
    <n v="92"/>
    <s v="Same"/>
    <s v="Performing Due Diligence on Specific Managers and Funds"/>
    <n v="7"/>
    <n v="2"/>
    <n v="1"/>
    <n v="2"/>
    <n v="2"/>
    <n v="2"/>
    <n v="3"/>
    <x v="18"/>
    <n v="15.900916029707309"/>
    <x v="0"/>
    <x v="0"/>
    <x v="0"/>
    <s v="U"/>
    <s v="U"/>
    <n v="2"/>
    <m/>
    <n v="5.6179775280898875E-3"/>
    <n v="5.128205128205128E-2"/>
    <n v="0.10256410256410256"/>
    <x v="0"/>
    <x v="0"/>
  </r>
  <r>
    <n v="20"/>
    <e v="#DIV/0!"/>
    <e v="#DIV/0!"/>
    <d v="1899-12-31T10:13:53"/>
    <d v="1899-12-30T01:37:00"/>
    <x v="0"/>
    <n v="93"/>
    <s v="Same"/>
    <s v="Predicting Fraud by Investment Managers"/>
    <n v="3"/>
    <n v="2"/>
    <n v="1"/>
    <n v="2"/>
    <n v="2"/>
    <n v="3"/>
    <n v="3"/>
    <x v="19"/>
    <n v="16.689102442565311"/>
    <x v="0"/>
    <x v="0"/>
    <x v="0"/>
    <s v="U"/>
    <s v="U"/>
    <n v="3"/>
    <m/>
    <n v="8.4269662921348312E-3"/>
    <n v="7.6923076923076927E-2"/>
    <n v="0.23076923076923078"/>
    <x v="0"/>
    <x v="0"/>
  </r>
  <r>
    <n v="21"/>
    <e v="#DIV/0!"/>
    <e v="#DIV/0!"/>
    <d v="1899-12-31T11:38:18"/>
    <d v="1899-12-30T01:24:25"/>
    <x v="1"/>
    <n v="10"/>
    <s v="Same"/>
    <s v="Empirical Approaches to Risk Metrics and Hedging"/>
    <n v="7"/>
    <n v="3"/>
    <n v="3"/>
    <n v="4"/>
    <n v="4"/>
    <n v="4"/>
    <n v="4"/>
    <x v="20"/>
    <n v="17.375041305301703"/>
    <x v="0"/>
    <x v="0"/>
    <x v="0"/>
    <s v="U"/>
    <s v="U"/>
    <n v="3"/>
    <m/>
    <n v="1.7467248908296942E-2"/>
    <n v="6.7796610169491525E-2"/>
    <n v="0.20338983050847459"/>
    <x v="0"/>
    <x v="0"/>
  </r>
  <r>
    <n v="22"/>
    <e v="#DIV/0!"/>
    <e v="#DIV/0!"/>
    <d v="1899-12-31T14:39:17"/>
    <d v="1899-12-30T03:00:59"/>
    <x v="1"/>
    <n v="11"/>
    <s v="Same"/>
    <s v="The Science of Term Structure Models"/>
    <n v="10"/>
    <n v="4"/>
    <n v="3"/>
    <n v="4"/>
    <n v="4"/>
    <n v="3"/>
    <n v="3"/>
    <x v="21"/>
    <n v="18.845645473209782"/>
    <x v="0"/>
    <x v="0"/>
    <x v="0"/>
    <s v="U"/>
    <s v="U"/>
    <n v="2"/>
    <m/>
    <n v="1.3100436681222707E-2"/>
    <n v="5.0847457627118647E-2"/>
    <n v="0.10169491525423729"/>
    <x v="0"/>
    <x v="0"/>
  </r>
  <r>
    <n v="23"/>
    <e v="#DIV/0!"/>
    <e v="#DIV/0!"/>
    <d v="1899-12-31T16:02:05"/>
    <d v="1899-12-30T01:22:48"/>
    <x v="1"/>
    <n v="12"/>
    <s v="Same"/>
    <s v="The Evolution of Short Rates and the Shape of the Term Structure"/>
    <n v="5"/>
    <n v="3"/>
    <n v="4"/>
    <n v="4"/>
    <n v="4"/>
    <n v="3"/>
    <n v="4"/>
    <x v="22"/>
    <n v="19.518447895731871"/>
    <x v="0"/>
    <x v="0"/>
    <x v="0"/>
    <s v="U"/>
    <s v="U"/>
    <n v="3"/>
    <m/>
    <n v="1.3100436681222707E-2"/>
    <n v="5.0847457627118647E-2"/>
    <n v="0.15254237288135594"/>
    <x v="0"/>
    <x v="0"/>
  </r>
  <r>
    <n v="24"/>
    <e v="#DIV/0!"/>
    <e v="#DIV/0!"/>
    <d v="1899-12-31T19:27:18"/>
    <d v="1899-12-30T03:25:13"/>
    <x v="1"/>
    <n v="13"/>
    <s v="Same"/>
    <s v="The Art of Term Structure Models-Drift"/>
    <n v="8"/>
    <n v="4"/>
    <n v="3"/>
    <n v="4"/>
    <n v="4"/>
    <n v="4"/>
    <n v="3"/>
    <x v="23"/>
    <n v="21.185963239635754"/>
    <x v="0"/>
    <x v="0"/>
    <x v="0"/>
    <s v="U"/>
    <s v="U"/>
    <n v="2"/>
    <m/>
    <n v="1.7467248908296942E-2"/>
    <n v="6.7796610169491525E-2"/>
    <n v="0.13559322033898305"/>
    <x v="0"/>
    <x v="0"/>
  </r>
  <r>
    <n v="25"/>
    <e v="#DIV/0!"/>
    <e v="#DIV/0!"/>
    <d v="1899-12-31T20:43:02"/>
    <d v="1899-12-30T01:15:44"/>
    <x v="1"/>
    <n v="14"/>
    <s v="Same"/>
    <s v="The Art of Term Structure Models-Volatility and Distribution"/>
    <n v="6"/>
    <n v="3"/>
    <n v="3"/>
    <n v="4"/>
    <n v="5"/>
    <n v="4"/>
    <n v="3"/>
    <x v="24"/>
    <n v="21.801344521427289"/>
    <x v="0"/>
    <x v="0"/>
    <x v="0"/>
    <s v="U"/>
    <s v="U"/>
    <n v="2"/>
    <m/>
    <n v="1.1235955056179775E-2"/>
    <n v="6.7796610169491525E-2"/>
    <n v="0.13559322033898305"/>
    <x v="0"/>
    <x v="0"/>
  </r>
  <r>
    <n v="26"/>
    <e v="#DIV/0!"/>
    <e v="#DIV/0!"/>
    <d v="1899-12-31T23:43:02"/>
    <d v="1899-12-30T03:00:00"/>
    <x v="2"/>
    <n v="17"/>
    <s v="New"/>
    <s v="Fundamentals of Credit Risk"/>
    <n v="5"/>
    <n v="3"/>
    <n v="1"/>
    <n v="1"/>
    <n v="1"/>
    <n v="2"/>
    <n v="2"/>
    <x v="25"/>
    <n v="23.263958483431828"/>
    <x v="0"/>
    <x v="0"/>
    <x v="0"/>
    <s v="U"/>
    <s v="U"/>
    <n v="3"/>
    <m/>
    <n v="8.7336244541484712E-3"/>
    <n v="2.247191011235955E-2"/>
    <n v="6.741573033707865E-2"/>
    <x v="0"/>
    <x v="0"/>
  </r>
  <r>
    <n v="27"/>
    <e v="#DIV/0!"/>
    <e v="#DIV/0!"/>
    <d v="1900-01-01T02:43:02"/>
    <d v="1899-12-30T03:00:00"/>
    <x v="2"/>
    <n v="18"/>
    <s v="New"/>
    <s v="Governance"/>
    <n v="5"/>
    <n v="3"/>
    <n v="1"/>
    <n v="1"/>
    <n v="1"/>
    <n v="2"/>
    <n v="2"/>
    <x v="25"/>
    <n v="24.726572445436364"/>
    <x v="0"/>
    <x v="0"/>
    <x v="0"/>
    <s v="U"/>
    <s v="U"/>
    <n v="2"/>
    <m/>
    <n v="8.7336244541484712E-3"/>
    <n v="2.247191011235955E-2"/>
    <n v="4.49438202247191E-2"/>
    <x v="0"/>
    <x v="0"/>
  </r>
  <r>
    <n v="28"/>
    <e v="#DIV/0!"/>
    <e v="#DIV/0!"/>
    <d v="1900-01-01T05:11:16"/>
    <d v="1899-12-30T02:28:14"/>
    <x v="1"/>
    <n v="15"/>
    <s v="Same"/>
    <s v="Volatility Smiles"/>
    <n v="9"/>
    <n v="3"/>
    <n v="1"/>
    <n v="4"/>
    <n v="5"/>
    <n v="5"/>
    <n v="4"/>
    <x v="26"/>
    <n v="25.931062128590842"/>
    <x v="0"/>
    <x v="0"/>
    <x v="0"/>
    <s v="U"/>
    <s v="U"/>
    <n v="2"/>
    <m/>
    <n v="1.4044943820224719E-2"/>
    <n v="8.4745762711864403E-2"/>
    <n v="0.16949152542372881"/>
    <x v="0"/>
    <x v="0"/>
  </r>
  <r>
    <n v="29"/>
    <e v="#DIV/0!"/>
    <e v="#DIV/0!"/>
    <d v="1900-01-01T06:10:57"/>
    <d v="1899-12-30T00:59:41"/>
    <x v="1"/>
    <n v="16"/>
    <s v="Same"/>
    <s v="Fundamental Review of the Trading Book"/>
    <n v="3"/>
    <n v="2"/>
    <n v="1"/>
    <n v="3"/>
    <n v="4"/>
    <n v="4"/>
    <n v="3"/>
    <x v="27"/>
    <n v="26.41602699877031"/>
    <x v="0"/>
    <x v="0"/>
    <x v="0"/>
    <s v="U"/>
    <s v="U"/>
    <n v="3"/>
    <m/>
    <n v="1.7467248908296942E-2"/>
    <n v="6.7796610169491525E-2"/>
    <n v="0.20338983050847459"/>
    <x v="0"/>
    <x v="0"/>
  </r>
  <r>
    <n v="30"/>
    <e v="#DIV/0!"/>
    <e v="#DIV/0!"/>
    <d v="1900-01-01T08:06:38"/>
    <d v="1899-12-30T01:55:41"/>
    <x v="2"/>
    <n v="20"/>
    <s v="changes"/>
    <s v="Capital Structure in Banks"/>
    <n v="9"/>
    <n v="3"/>
    <n v="4"/>
    <n v="3"/>
    <n v="3"/>
    <n v="5"/>
    <n v="4"/>
    <x v="28"/>
    <n v="27.35602732379564"/>
    <x v="0"/>
    <x v="0"/>
    <x v="0"/>
    <s v="U"/>
    <s v="U"/>
    <n v="2"/>
    <m/>
    <n v="2.1834061135371178E-2"/>
    <n v="5.6179775280898875E-2"/>
    <n v="0.11235955056179775"/>
    <x v="0"/>
    <x v="0"/>
  </r>
  <r>
    <n v="31"/>
    <e v="#DIV/0!"/>
    <e v="#DIV/0!"/>
    <d v="1900-01-01T11:06:38"/>
    <d v="1899-12-30T03:00:00"/>
    <x v="2"/>
    <n v="25"/>
    <s v="New"/>
    <s v="Estimating Default Probabilities"/>
    <n v="14"/>
    <n v="3"/>
    <n v="4"/>
    <n v="3"/>
    <n v="3"/>
    <n v="5"/>
    <n v="4"/>
    <x v="25"/>
    <n v="28.818641285800179"/>
    <x v="0"/>
    <x v="0"/>
    <x v="0"/>
    <s v="U"/>
    <s v="U"/>
    <n v="3"/>
    <m/>
    <n v="2.1834061135371178E-2"/>
    <n v="5.6179775280898875E-2"/>
    <n v="0.16853932584269662"/>
    <x v="0"/>
    <x v="0"/>
  </r>
  <r>
    <n v="32"/>
    <e v="#DIV/0!"/>
    <e v="#DIV/0!"/>
    <d v="1900-01-01T14:06:38"/>
    <d v="1899-12-30T03:00:00"/>
    <x v="2"/>
    <n v="26"/>
    <s v="New"/>
    <s v="Credit Value at Risk"/>
    <n v="6"/>
    <n v="3"/>
    <n v="4"/>
    <n v="3"/>
    <n v="3"/>
    <n v="5"/>
    <n v="4"/>
    <x v="25"/>
    <n v="30.281255247804715"/>
    <x v="0"/>
    <x v="0"/>
    <x v="0"/>
    <s v="U"/>
    <s v="U"/>
    <n v="3"/>
    <m/>
    <n v="2.1834061135371178E-2"/>
    <n v="5.6179775280898875E-2"/>
    <n v="0.16853932584269662"/>
    <x v="0"/>
    <x v="0"/>
  </r>
  <r>
    <n v="33"/>
    <e v="#DIV/0!"/>
    <e v="#DIV/0!"/>
    <d v="1900-01-01T17:06:38"/>
    <d v="1899-12-30T03:00:00"/>
    <x v="2"/>
    <n v="29"/>
    <s v="New"/>
    <s v="Credit Risk"/>
    <n v="7"/>
    <n v="4"/>
    <n v="3"/>
    <n v="4"/>
    <n v="5"/>
    <n v="5"/>
    <n v="4"/>
    <x v="25"/>
    <n v="31.743869209809255"/>
    <x v="0"/>
    <x v="0"/>
    <x v="0"/>
    <s v="U"/>
    <s v="U"/>
    <n v="2"/>
    <m/>
    <n v="2.1834061135371178E-2"/>
    <n v="5.6179775280898875E-2"/>
    <n v="0.11235955056179775"/>
    <x v="0"/>
    <x v="0"/>
  </r>
  <r>
    <n v="34"/>
    <e v="#DIV/0!"/>
    <e v="#DIV/0!"/>
    <d v="1900-01-01T20:06:38"/>
    <d v="1899-12-30T03:00:00"/>
    <x v="2"/>
    <n v="30"/>
    <s v="New"/>
    <s v="Credit Derivatives"/>
    <n v="8"/>
    <n v="4"/>
    <n v="3"/>
    <n v="4"/>
    <n v="5"/>
    <n v="5"/>
    <n v="4"/>
    <x v="25"/>
    <n v="33.206483171813794"/>
    <x v="0"/>
    <x v="0"/>
    <x v="0"/>
    <s v="U"/>
    <s v="U"/>
    <n v="2"/>
    <m/>
    <n v="2.1834061135371178E-2"/>
    <n v="5.6179775280898875E-2"/>
    <n v="0.11235955056179775"/>
    <x v="0"/>
    <x v="0"/>
  </r>
  <r>
    <n v="35"/>
    <e v="#DIV/0!"/>
    <e v="#DIV/0!"/>
    <d v="1900-01-01T23:06:38"/>
    <d v="1899-12-30T03:00:00"/>
    <x v="2"/>
    <n v="31"/>
    <s v="New"/>
    <s v="Derivatives"/>
    <n v="10"/>
    <n v="4"/>
    <n v="3"/>
    <n v="4"/>
    <n v="5"/>
    <n v="5"/>
    <n v="4"/>
    <x v="25"/>
    <n v="34.669097133818333"/>
    <x v="0"/>
    <x v="0"/>
    <x v="0"/>
    <s v="U"/>
    <s v="U"/>
    <n v="2"/>
    <m/>
    <n v="2.1834061135371178E-2"/>
    <n v="5.6179775280898875E-2"/>
    <n v="0.11235955056179775"/>
    <x v="0"/>
    <x v="0"/>
  </r>
  <r>
    <n v="36"/>
    <e v="#DIV/0!"/>
    <e v="#DIV/0!"/>
    <d v="1900-01-02T01:02:51"/>
    <d v="1899-12-30T01:56:13"/>
    <x v="2"/>
    <n v="39"/>
    <s v="Same"/>
    <s v="An Introduction to Securitisation"/>
    <n v="8"/>
    <n v="4"/>
    <n v="2"/>
    <n v="4"/>
    <n v="4"/>
    <n v="4"/>
    <n v="3"/>
    <x v="29"/>
    <n v="35.613431129842191"/>
    <x v="0"/>
    <x v="0"/>
    <x v="0"/>
    <s v="U"/>
    <s v="U"/>
    <n v="2"/>
    <m/>
    <n v="1.7467248908296942E-2"/>
    <n v="4.49438202247191E-2"/>
    <n v="8.98876404494382E-2"/>
    <x v="0"/>
    <x v="0"/>
  </r>
  <r>
    <n v="37"/>
    <e v="#DIV/0!"/>
    <e v="#DIV/0!"/>
    <d v="1900-01-02T02:26:26"/>
    <n v="5.8043981481481481E-2"/>
    <x v="2"/>
    <n v="32"/>
    <s v="Same"/>
    <s v="Counterparty Risk and Beyond"/>
    <n v="8"/>
    <n v="3"/>
    <n v="1"/>
    <n v="4"/>
    <n v="3"/>
    <n v="3"/>
    <n v="3"/>
    <x v="30"/>
    <n v="36.292598631643372"/>
    <x v="0"/>
    <x v="0"/>
    <x v="0"/>
    <s v="U"/>
    <s v="U"/>
    <n v="3"/>
    <m/>
    <n v="8.4269662921348312E-3"/>
    <n v="3.3707865168539325E-2"/>
    <n v="0.10112359550561797"/>
    <x v="0"/>
    <x v="0"/>
  </r>
  <r>
    <n v="38"/>
    <e v="#DIV/0!"/>
    <e v="#DIV/0!"/>
    <d v="1900-01-02T03:58:53"/>
    <n v="6.4201388888888891E-2"/>
    <x v="2"/>
    <n v="33"/>
    <s v="Same"/>
    <s v="Netting, Close-out and Related Aspects"/>
    <n v="6"/>
    <n v="2"/>
    <n v="1"/>
    <n v="3"/>
    <n v="3"/>
    <n v="4"/>
    <n v="4"/>
    <x v="31"/>
    <n v="37.043813413795149"/>
    <x v="0"/>
    <x v="0"/>
    <x v="0"/>
    <s v="U"/>
    <s v="U"/>
    <n v="2"/>
    <m/>
    <n v="1.1235955056179775E-2"/>
    <n v="4.49438202247191E-2"/>
    <n v="8.98876404494382E-2"/>
    <x v="0"/>
    <x v="0"/>
  </r>
  <r>
    <n v="39"/>
    <e v="#DIV/0!"/>
    <e v="#DIV/0!"/>
    <d v="1900-01-02T06:26:30"/>
    <d v="1899-12-30T02:27:37"/>
    <x v="2"/>
    <n v="34"/>
    <s v="Same"/>
    <s v="Margin Collateral and Settlement"/>
    <n v="11"/>
    <n v="3"/>
    <n v="1"/>
    <n v="3"/>
    <n v="4"/>
    <n v="4"/>
    <n v="4"/>
    <x v="32"/>
    <n v="38.243292289857571"/>
    <x v="0"/>
    <x v="0"/>
    <x v="0"/>
    <s v="U"/>
    <s v="U"/>
    <n v="2"/>
    <m/>
    <n v="1.7467248908296942E-2"/>
    <n v="4.49438202247191E-2"/>
    <n v="8.98876404494382E-2"/>
    <x v="0"/>
    <x v="0"/>
  </r>
  <r>
    <n v="40"/>
    <e v="#DIV/0!"/>
    <e v="#DIV/0!"/>
    <d v="1900-01-02T12:56:24"/>
    <d v="1899-12-30T03:06:05"/>
    <x v="3"/>
    <n v="64"/>
    <s v="Same"/>
    <s v="Liquidity Risk"/>
    <n v="4"/>
    <n v="4"/>
    <n v="3"/>
    <n v="4"/>
    <n v="4"/>
    <n v="5"/>
    <n v="4"/>
    <x v="33"/>
    <n v="39.755337186689111"/>
    <x v="0"/>
    <x v="0"/>
    <x v="0"/>
    <s v="U"/>
    <s v="U"/>
    <n v="2"/>
    <m/>
    <n v="2.1834061135371178E-2"/>
    <n v="7.4626865671641784E-2"/>
    <n v="0.14925373134328357"/>
    <x v="0"/>
    <x v="0"/>
  </r>
  <r>
    <n v="41"/>
    <e v="#DIV/0!"/>
    <e v="#DIV/0!"/>
    <d v="1900-01-02T11:49:42"/>
    <d v="1899-12-30T02:17:07"/>
    <x v="3"/>
    <n v="65"/>
    <s v="Same"/>
    <s v="Liquidity and Leverage"/>
    <n v="7"/>
    <n v="4"/>
    <n v="3"/>
    <n v="4"/>
    <n v="4"/>
    <n v="4"/>
    <n v="4"/>
    <x v="34"/>
    <n v="40.869496914967947"/>
    <x v="0"/>
    <x v="0"/>
    <x v="0"/>
    <s v="U"/>
    <s v="U"/>
    <n v="2"/>
    <m/>
    <n v="1.7467248908296942E-2"/>
    <n v="5.9701492537313432E-2"/>
    <n v="0.11940298507462686"/>
    <x v="0"/>
    <x v="0"/>
  </r>
  <r>
    <n v="42"/>
    <e v="#DIV/0!"/>
    <e v="#DIV/0!"/>
    <d v="1900-01-02T12:56:24"/>
    <d v="1899-12-30T01:06:42"/>
    <x v="3"/>
    <n v="66"/>
    <s v="Same"/>
    <s v="Early Warning Indicators"/>
    <n v="3"/>
    <n v="2"/>
    <n v="1"/>
    <n v="2"/>
    <n v="2"/>
    <n v="3"/>
    <n v="3"/>
    <x v="35"/>
    <n v="41.411476644221842"/>
    <x v="0"/>
    <x v="0"/>
    <x v="0"/>
    <s v="U"/>
    <s v="U"/>
    <n v="2"/>
    <m/>
    <n v="1.3100436681222707E-2"/>
    <n v="4.4776119402985072E-2"/>
    <n v="8.9552238805970144E-2"/>
    <x v="0"/>
    <x v="0"/>
  </r>
  <r>
    <n v="43"/>
    <e v="#DIV/0!"/>
    <e v="#DIV/0!"/>
    <d v="1900-01-02T16:10:07"/>
    <d v="1899-12-30T03:13:43"/>
    <x v="2"/>
    <n v="37"/>
    <s v="Same"/>
    <s v="CVA"/>
    <n v="17"/>
    <n v="4"/>
    <n v="2"/>
    <n v="4"/>
    <n v="4"/>
    <n v="5"/>
    <n v="4"/>
    <x v="36"/>
    <n v="42.985547207219881"/>
    <x v="0"/>
    <x v="0"/>
    <x v="0"/>
    <s v="U"/>
    <s v="U"/>
    <n v="2"/>
    <m/>
    <n v="2.1834061135371178E-2"/>
    <n v="5.6179775280898875E-2"/>
    <n v="0.11235955056179775"/>
    <x v="0"/>
    <x v="0"/>
  </r>
  <r>
    <n v="44"/>
    <e v="#DIV/0!"/>
    <e v="#DIV/0!"/>
    <d v="1900-01-02T18:59:06"/>
    <d v="1899-12-30T02:48:59"/>
    <x v="2"/>
    <n v="36"/>
    <s v="Same"/>
    <s v="Future Value and Exposure"/>
    <n v="9"/>
    <n v="4"/>
    <n v="3"/>
    <n v="5"/>
    <n v="5"/>
    <n v="5"/>
    <n v="4"/>
    <x v="37"/>
    <n v="44.358643777660994"/>
    <x v="0"/>
    <x v="0"/>
    <x v="0"/>
    <s v="U"/>
    <s v="U"/>
    <n v="2"/>
    <m/>
    <n v="2.1834061135371178E-2"/>
    <n v="5.6179775280898875E-2"/>
    <n v="0.11235955056179775"/>
    <x v="0"/>
    <x v="0"/>
  </r>
  <r>
    <n v="45"/>
    <e v="#DIV/0!"/>
    <e v="#DIV/0!"/>
    <d v="1900-01-02T20:53:37"/>
    <d v="1899-12-30T01:54:31"/>
    <x v="2"/>
    <n v="38"/>
    <s v="changes"/>
    <s v="The Evolution of Stress Testing Counterparty Exposures"/>
    <n v="8"/>
    <n v="2"/>
    <n v="2"/>
    <n v="4"/>
    <n v="5"/>
    <n v="3"/>
    <n v="3"/>
    <x v="38"/>
    <n v="45.289164197377033"/>
    <x v="0"/>
    <x v="0"/>
    <x v="0"/>
    <s v="U"/>
    <s v="U"/>
    <n v="2"/>
    <m/>
    <n v="8.4269662921348312E-3"/>
    <n v="3.3707865168539325E-2"/>
    <n v="6.741573033707865E-2"/>
    <x v="0"/>
    <x v="0"/>
  </r>
  <r>
    <n v="46"/>
    <e v="#DIV/0!"/>
    <e v="#DIV/0!"/>
    <d v="1900-01-02T23:53:37"/>
    <d v="1899-12-30T03:00:00"/>
    <x v="2"/>
    <n v="19"/>
    <s v="New"/>
    <s v="Credit Risk Management"/>
    <n v="10"/>
    <n v="2"/>
    <n v="2"/>
    <n v="4"/>
    <n v="5"/>
    <n v="3"/>
    <n v="3"/>
    <x v="25"/>
    <n v="46.751778159381566"/>
    <x v="0"/>
    <x v="0"/>
    <x v="0"/>
    <s v="U"/>
    <s v="U"/>
    <n v="2"/>
    <m/>
    <n v="8.4269662921348312E-3"/>
    <n v="3.3707865168539325E-2"/>
    <n v="6.741573033707865E-2"/>
    <x v="0"/>
    <x v="0"/>
  </r>
  <r>
    <n v="47"/>
    <e v="#DIV/0!"/>
    <e v="#DIV/0!"/>
    <d v="1900-01-04T11:35:37"/>
    <d v="1899-12-30T02:35:55"/>
    <x v="4"/>
    <n v="41"/>
    <s v="Same"/>
    <s v="Risk Governance"/>
    <n v="4"/>
    <n v="2"/>
    <n v="1"/>
    <n v="2"/>
    <n v="2"/>
    <n v="3"/>
    <n v="4"/>
    <x v="39"/>
    <n v="48.018699790358646"/>
    <x v="0"/>
    <x v="0"/>
    <x v="0"/>
    <s v="U"/>
    <s v="U"/>
    <n v="2"/>
    <m/>
    <n v="8.4269662921348312E-3"/>
    <n v="4.1666666666666664E-2"/>
    <n v="8.3333333333333329E-2"/>
    <x v="0"/>
    <x v="0"/>
  </r>
  <r>
    <n v="48"/>
    <e v="#DIV/0!"/>
    <e v="#DIV/0!"/>
    <d v="1900-01-03T04:24:53"/>
    <d v="1899-12-30T01:55:21"/>
    <x v="4"/>
    <n v="42"/>
    <s v="Same"/>
    <s v="Risk Identification"/>
    <n v="4"/>
    <n v="2"/>
    <n v="1"/>
    <n v="2"/>
    <n v="2"/>
    <n v="2"/>
    <n v="3"/>
    <x v="40"/>
    <n v="48.955991571009889"/>
    <x v="0"/>
    <x v="0"/>
    <x v="0"/>
    <s v="U"/>
    <s v="U"/>
    <n v="3"/>
    <m/>
    <n v="5.6179775280898875E-3"/>
    <n v="2.7777777777777776E-2"/>
    <n v="8.3333333333333329E-2"/>
    <x v="0"/>
    <x v="0"/>
  </r>
  <r>
    <n v="49"/>
    <e v="#DIV/0!"/>
    <e v="#DIV/0!"/>
    <d v="1900-01-03T07:30:47"/>
    <d v="1899-12-30T03:05:54"/>
    <x v="4"/>
    <n v="43"/>
    <s v="changes"/>
    <s v="Risk Measurement and Assessment"/>
    <n v="7"/>
    <n v="4"/>
    <n v="1"/>
    <n v="3"/>
    <n v="2"/>
    <n v="4"/>
    <n v="3"/>
    <x v="41"/>
    <n v="50.466546768435691"/>
    <x v="0"/>
    <x v="0"/>
    <x v="0"/>
    <s v="U"/>
    <s v="U"/>
    <n v="3"/>
    <m/>
    <n v="1.1235955056179775E-2"/>
    <n v="5.5555555555555552E-2"/>
    <n v="0.16666666666666666"/>
    <x v="0"/>
    <x v="0"/>
  </r>
  <r>
    <n v="50"/>
    <e v="#DIV/0!"/>
    <e v="#DIV/0!"/>
    <d v="1900-01-03T09:55:48"/>
    <d v="1899-12-30T02:25:01"/>
    <x v="4"/>
    <n v="44"/>
    <s v="changes"/>
    <s v="Risk Mitigation"/>
    <n v="7"/>
    <n v="3"/>
    <n v="1"/>
    <n v="3"/>
    <n v="2"/>
    <n v="3"/>
    <n v="2"/>
    <x v="42"/>
    <n v="51.644898998380285"/>
    <x v="0"/>
    <x v="0"/>
    <x v="0"/>
    <s v="U"/>
    <s v="U"/>
    <n v="2"/>
    <m/>
    <n v="8.4269662921348312E-3"/>
    <n v="4.1666666666666664E-2"/>
    <n v="8.3333333333333329E-2"/>
    <x v="0"/>
    <x v="0"/>
  </r>
  <r>
    <n v="51"/>
    <e v="#DIV/0!"/>
    <e v="#DIV/0!"/>
    <d v="1900-01-03T11:35:11"/>
    <d v="1899-12-30T01:39:23"/>
    <x v="4"/>
    <n v="45"/>
    <s v="Same"/>
    <s v="Risk Reporting"/>
    <n v="4"/>
    <n v="2"/>
    <n v="1"/>
    <n v="2"/>
    <n v="2"/>
    <n v="3"/>
    <n v="3"/>
    <x v="43"/>
    <n v="52.452451503512975"/>
    <x v="0"/>
    <x v="0"/>
    <x v="0"/>
    <s v="U"/>
    <s v="U"/>
    <n v="2"/>
    <m/>
    <n v="1.3100436681222707E-2"/>
    <n v="4.1666666666666664E-2"/>
    <n v="8.3333333333333329E-2"/>
    <x v="0"/>
    <x v="0"/>
  </r>
  <r>
    <n v="52"/>
    <e v="#DIV/0!"/>
    <e v="#DIV/0!"/>
    <d v="1900-01-03T12:55:54"/>
    <d v="1899-12-30T01:20:43"/>
    <x v="4"/>
    <n v="46"/>
    <s v="Same"/>
    <s v="Integrated Risk Management"/>
    <n v="4"/>
    <n v="2"/>
    <n v="1"/>
    <n v="2"/>
    <n v="2"/>
    <n v="3"/>
    <n v="2"/>
    <x v="44"/>
    <n v="53.108325523697054"/>
    <x v="0"/>
    <x v="0"/>
    <x v="0"/>
    <s v="U"/>
    <s v="U"/>
    <n v="3"/>
    <m/>
    <n v="1.3100436681222707E-2"/>
    <n v="4.1666666666666664E-2"/>
    <n v="0.125"/>
    <x v="0"/>
    <x v="0"/>
  </r>
  <r>
    <n v="53"/>
    <e v="#DIV/0!"/>
    <e v="#DIV/0!"/>
    <d v="1900-01-03T15:55:54"/>
    <d v="1899-12-30T03:00:00"/>
    <x v="2"/>
    <n v="22"/>
    <s v="New"/>
    <s v="Credit Scoring and Rating"/>
    <n v="4"/>
    <n v="2"/>
    <n v="1"/>
    <n v="3"/>
    <n v="3"/>
    <n v="3"/>
    <n v="3"/>
    <x v="25"/>
    <n v="54.570939485701587"/>
    <x v="0"/>
    <x v="0"/>
    <x v="0"/>
    <s v="U"/>
    <s v="U"/>
    <n v="3"/>
    <m/>
    <n v="1.3100436681222707E-2"/>
    <n v="3.3707865168539325E-2"/>
    <n v="0.10112359550561797"/>
    <x v="0"/>
    <x v="0"/>
  </r>
  <r>
    <n v="54"/>
    <e v="#DIV/0!"/>
    <e v="#DIV/0!"/>
    <d v="1900-01-03T17:13:12"/>
    <d v="1899-12-30T01:17:18"/>
    <x v="2"/>
    <n v="23"/>
    <s v="Same"/>
    <s v="Credit Scoring and Retail Credit Risk Management"/>
    <n v="8"/>
    <n v="2"/>
    <n v="1"/>
    <n v="3"/>
    <n v="3"/>
    <n v="3"/>
    <n v="3"/>
    <x v="45"/>
    <n v="55.199050926051306"/>
    <x v="0"/>
    <x v="0"/>
    <x v="0"/>
    <s v="U"/>
    <s v="U"/>
    <n v="3"/>
    <m/>
    <n v="1.3100436681222707E-2"/>
    <n v="3.3707865168539325E-2"/>
    <n v="0.10112359550561797"/>
    <x v="0"/>
    <x v="0"/>
  </r>
  <r>
    <n v="55"/>
    <e v="#DIV/0!"/>
    <e v="#DIV/0!"/>
    <d v="1900-01-03T20:13:12"/>
    <d v="1899-12-30T03:00:00"/>
    <x v="2"/>
    <n v="21"/>
    <s v="changes"/>
    <s v="Introduction to Credit Risk Modeling and Assessment"/>
    <n v="7"/>
    <n v="2"/>
    <n v="1"/>
    <n v="3"/>
    <n v="3"/>
    <n v="3"/>
    <n v="3"/>
    <x v="25"/>
    <n v="56.661664888055853"/>
    <x v="0"/>
    <x v="0"/>
    <x v="0"/>
    <s v="U"/>
    <s v="U"/>
    <n v="2"/>
    <m/>
    <n v="1.3100436681222707E-2"/>
    <n v="3.3707865168539325E-2"/>
    <n v="6.741573033707865E-2"/>
    <x v="0"/>
    <x v="0"/>
  </r>
  <r>
    <n v="56"/>
    <e v="#DIV/0!"/>
    <e v="#DIV/0!"/>
    <d v="1900-01-03T22:09:24"/>
    <d v="1899-12-30T01:56:12"/>
    <x v="2"/>
    <n v="27"/>
    <s v="changes"/>
    <s v="Portfolio Credit Risk"/>
    <n v="8"/>
    <n v="2"/>
    <n v="3"/>
    <n v="4"/>
    <n v="4"/>
    <n v="3"/>
    <n v="3"/>
    <x v="46"/>
    <n v="57.605863456860995"/>
    <x v="0"/>
    <x v="0"/>
    <x v="0"/>
    <s v="U"/>
    <s v="U"/>
    <n v="2"/>
    <m/>
    <n v="1.3100436681222707E-2"/>
    <n v="3.3707865168539325E-2"/>
    <n v="6.741573033707865E-2"/>
    <x v="0"/>
    <x v="0"/>
  </r>
  <r>
    <n v="57"/>
    <e v="#DIV/0!"/>
    <e v="#DIV/0!"/>
    <d v="1900-01-04T02:24:58"/>
    <d v="1899-12-30T04:15:34"/>
    <x v="2"/>
    <n v="28"/>
    <s v="changes"/>
    <s v="Structured Credit Risk"/>
    <n v="13"/>
    <n v="4"/>
    <n v="2"/>
    <n v="4"/>
    <n v="4"/>
    <n v="4"/>
    <n v="3"/>
    <x v="47"/>
    <n v="59.68250442847004"/>
    <x v="0"/>
    <x v="0"/>
    <x v="0"/>
    <s v="U"/>
    <s v="U"/>
    <n v="3"/>
    <m/>
    <n v="1.7467248908296942E-2"/>
    <n v="4.49438202247191E-2"/>
    <n v="0.1348314606741573"/>
    <x v="0"/>
    <x v="0"/>
  </r>
  <r>
    <n v="58"/>
    <e v="#DIV/0!"/>
    <e v="#DIV/0!"/>
    <d v="1900-01-04T05:24:58"/>
    <d v="1899-12-30T03:00:00"/>
    <x v="2"/>
    <n v="24"/>
    <s v="New"/>
    <s v="Country Risk-Determinants, Measures, and Implications"/>
    <n v="7"/>
    <n v="3"/>
    <n v="2"/>
    <n v="3"/>
    <n v="4"/>
    <n v="4"/>
    <n v="3"/>
    <x v="25"/>
    <n v="61.145118390474572"/>
    <x v="0"/>
    <x v="0"/>
    <x v="0"/>
    <s v="U"/>
    <s v="U"/>
    <n v="3"/>
    <m/>
    <n v="1.1235955056179775E-2"/>
    <n v="4.49438202247191E-2"/>
    <n v="0.1348314606741573"/>
    <x v="0"/>
    <x v="0"/>
  </r>
  <r>
    <n v="59"/>
    <e v="#DIV/0!"/>
    <e v="#DIV/0!"/>
    <d v="1900-01-04T08:24:58"/>
    <d v="1899-12-30T03:00:00"/>
    <x v="2"/>
    <n v="35"/>
    <s v="New"/>
    <s v="Central Clearing"/>
    <n v="10"/>
    <n v="3"/>
    <n v="2"/>
    <n v="3"/>
    <n v="4"/>
    <n v="4"/>
    <n v="3"/>
    <x v="25"/>
    <n v="62.607732352479118"/>
    <x v="0"/>
    <x v="0"/>
    <x v="0"/>
    <s v="U"/>
    <s v="U"/>
    <n v="3"/>
    <m/>
    <n v="1.7467248908296942E-2"/>
    <n v="4.49438202247191E-2"/>
    <n v="0.1348314606741573"/>
    <x v="0"/>
    <x v="0"/>
  </r>
  <r>
    <n v="60"/>
    <e v="#DIV/0!"/>
    <e v="#DIV/0!"/>
    <d v="1900-01-04T11:35:37"/>
    <d v="1899-12-30T03:10:39"/>
    <x v="4"/>
    <n v="60"/>
    <s v="Same"/>
    <s v="Capital Regulation Before the Global Financial Crisis"/>
    <n v="8"/>
    <n v="4"/>
    <n v="2"/>
    <n v="3"/>
    <n v="3"/>
    <n v="4"/>
    <n v="4"/>
    <x v="48"/>
    <n v="64.1568843072356"/>
    <x v="0"/>
    <x v="0"/>
    <x v="0"/>
    <s v="U"/>
    <s v="U"/>
    <n v="2"/>
    <m/>
    <n v="1.7467248908296942E-2"/>
    <n v="5.5555555555555552E-2"/>
    <n v="0.1111111111111111"/>
    <x v="0"/>
    <x v="0"/>
  </r>
  <r>
    <n v="61"/>
    <e v="#DIV/0!"/>
    <e v="#DIV/0!"/>
    <d v="1900-01-04T13:46:23"/>
    <d v="1899-12-30T02:10:46"/>
    <x v="4"/>
    <n v="57"/>
    <s v="Same"/>
    <s v="Risk Capital Attribution and Risk-Adjusted Performance Measurement"/>
    <n v="8"/>
    <n v="3"/>
    <n v="2"/>
    <n v="3"/>
    <n v="3"/>
    <n v="5"/>
    <n v="4"/>
    <x v="49"/>
    <n v="65.219446265188139"/>
    <x v="0"/>
    <x v="0"/>
    <x v="0"/>
    <s v="U"/>
    <s v="U"/>
    <n v="3"/>
    <m/>
    <n v="2.1834061135371178E-2"/>
    <n v="6.9444444444444448E-2"/>
    <n v="0.20833333333333334"/>
    <x v="0"/>
    <x v="0"/>
  </r>
  <r>
    <n v="62"/>
    <e v="#DIV/0!"/>
    <e v="#DIV/0!"/>
    <d v="1900-01-04T14:28:15"/>
    <d v="1899-12-30T00:41:52"/>
    <x v="4"/>
    <n v="51"/>
    <s v="Same"/>
    <s v="Guidance on Managing Outsourcing Risk"/>
    <n v="3"/>
    <n v="2"/>
    <n v="1"/>
    <n v="2"/>
    <n v="2"/>
    <n v="3"/>
    <n v="3"/>
    <x v="50"/>
    <n v="65.559639438572916"/>
    <x v="0"/>
    <x v="0"/>
    <x v="0"/>
    <s v="U"/>
    <s v="U"/>
    <n v="3"/>
    <m/>
    <n v="1.3100436681222707E-2"/>
    <n v="4.1666666666666664E-2"/>
    <n v="0.125"/>
    <x v="0"/>
    <x v="0"/>
  </r>
  <r>
    <n v="63"/>
    <e v="#DIV/0!"/>
    <e v="#DIV/0!"/>
    <d v="1900-01-04T15:14:42"/>
    <d v="1899-12-30T00:46:27"/>
    <x v="4"/>
    <n v="52"/>
    <s v="changes"/>
    <s v="Case Study-Third-Party Risk Management"/>
    <n v="2"/>
    <n v="2"/>
    <n v="1"/>
    <n v="2"/>
    <n v="2"/>
    <n v="2"/>
    <n v="2"/>
    <x v="51"/>
    <n v="65.9370750971013"/>
    <x v="0"/>
    <x v="0"/>
    <x v="0"/>
    <s v="U"/>
    <s v="U"/>
    <n v="3"/>
    <m/>
    <n v="8.7336244541484712E-3"/>
    <n v="2.7777777777777776E-2"/>
    <n v="8.3333333333333329E-2"/>
    <x v="0"/>
    <x v="0"/>
  </r>
  <r>
    <n v="64"/>
    <e v="#DIV/0!"/>
    <e v="#DIV/0!"/>
    <d v="1900-01-04T17:52:47"/>
    <d v="1899-12-30T02:38:05"/>
    <x v="3"/>
    <n v="67"/>
    <s v="Same"/>
    <s v="The Investment Function in Financial-Services Management"/>
    <n v="3"/>
    <n v="4"/>
    <n v="2"/>
    <n v="3"/>
    <n v="4"/>
    <n v="4"/>
    <n v="4"/>
    <x v="52"/>
    <n v="67.221602266509933"/>
    <x v="0"/>
    <x v="0"/>
    <x v="0"/>
    <s v="U"/>
    <s v="U"/>
    <n v="3"/>
    <m/>
    <n v="1.7467248908296942E-2"/>
    <n v="5.9701492537313432E-2"/>
    <n v="0.17910447761194029"/>
    <x v="0"/>
    <x v="0"/>
  </r>
  <r>
    <n v="65"/>
    <e v="#DIV/0!"/>
    <e v="#DIV/0!"/>
    <d v="1900-01-04T20:37:28"/>
    <d v="1899-12-30T02:44:41"/>
    <x v="3"/>
    <n v="68"/>
    <s v="Same"/>
    <s v="Liquidity and Reserves Management-Strategies and Policies"/>
    <n v="5"/>
    <n v="4"/>
    <n v="2"/>
    <n v="4"/>
    <n v="4"/>
    <n v="3"/>
    <n v="4"/>
    <x v="53"/>
    <n v="68.559758614525364"/>
    <x v="0"/>
    <x v="0"/>
    <x v="0"/>
    <s v="U"/>
    <s v="U"/>
    <n v="3"/>
    <m/>
    <n v="1.3100436681222707E-2"/>
    <n v="4.4776119402985072E-2"/>
    <n v="0.13432835820895522"/>
    <x v="0"/>
    <x v="0"/>
  </r>
  <r>
    <n v="66"/>
    <e v="#DIV/0!"/>
    <e v="#DIV/0!"/>
    <d v="1900-01-04T22:18:25"/>
    <d v="1899-12-30T01:40:57"/>
    <x v="3"/>
    <n v="69"/>
    <s v="Same"/>
    <s v="Intraday Liquidity Risk Management"/>
    <n v="3"/>
    <n v="3"/>
    <n v="1"/>
    <n v="3"/>
    <n v="3"/>
    <n v="3"/>
    <n v="3"/>
    <x v="54"/>
    <n v="69.380041278216254"/>
    <x v="0"/>
    <x v="0"/>
    <x v="0"/>
    <s v="U"/>
    <s v="U"/>
    <n v="2"/>
    <m/>
    <n v="1.3100436681222707E-2"/>
    <n v="4.4776119402985072E-2"/>
    <n v="8.9552238805970144E-2"/>
    <x v="0"/>
    <x v="0"/>
  </r>
  <r>
    <n v="67"/>
    <e v="#DIV/0!"/>
    <e v="#DIV/0!"/>
    <d v="1900-01-05T00:18:27"/>
    <d v="1899-12-30T02:00:02"/>
    <x v="3"/>
    <n v="70"/>
    <s v="Same"/>
    <s v="Monitoring Liquidity"/>
    <n v="5"/>
    <n v="3"/>
    <n v="2"/>
    <n v="3"/>
    <n v="4"/>
    <n v="3"/>
    <n v="3"/>
    <x v="55"/>
    <n v="70.355388107323364"/>
    <x v="0"/>
    <x v="0"/>
    <x v="0"/>
    <s v="U"/>
    <s v="U"/>
    <n v="2"/>
    <m/>
    <n v="8.4269662921348312E-3"/>
    <n v="4.4776119402985072E-2"/>
    <n v="8.9552238805970144E-2"/>
    <x v="0"/>
    <x v="0"/>
  </r>
  <r>
    <n v="68"/>
    <e v="#DIV/0!"/>
    <e v="#DIV/0!"/>
    <d v="1900-01-05T01:10:11"/>
    <d v="1899-12-30T00:51:44"/>
    <x v="4"/>
    <n v="58"/>
    <s v="Same"/>
    <s v="Range of Practices and Issues in Economic Capital Frameworks"/>
    <n v="4"/>
    <n v="3"/>
    <n v="1"/>
    <n v="2"/>
    <n v="2"/>
    <n v="3"/>
    <n v="3"/>
    <x v="56"/>
    <n v="70.775754194180948"/>
    <x v="0"/>
    <x v="0"/>
    <x v="0"/>
    <s v="U"/>
    <s v="U"/>
    <n v="2"/>
    <m/>
    <n v="1.3100436681222707E-2"/>
    <n v="4.1666666666666664E-2"/>
    <n v="8.3333333333333329E-2"/>
    <x v="0"/>
    <x v="0"/>
  </r>
  <r>
    <n v="69"/>
    <e v="#DIV/0!"/>
    <e v="#DIV/0!"/>
    <d v="1900-01-05T02:32:54"/>
    <d v="1899-12-30T01:22:43"/>
    <x v="4"/>
    <n v="59"/>
    <s v="Same"/>
    <s v="Capital Planning at Large Bank Holding Companies-Supervisory Expectations and Range of Current Practice"/>
    <n v="2"/>
    <n v="3"/>
    <n v="1"/>
    <n v="3"/>
    <n v="3"/>
    <n v="3"/>
    <n v="3"/>
    <x v="57"/>
    <n v="71.447879480609515"/>
    <x v="0"/>
    <x v="0"/>
    <x v="0"/>
    <s v="U"/>
    <s v="U"/>
    <n v="2"/>
    <m/>
    <n v="1.3100436681222707E-2"/>
    <n v="4.1666666666666664E-2"/>
    <n v="8.3333333333333329E-2"/>
    <x v="0"/>
    <x v="0"/>
  </r>
  <r>
    <n v="70"/>
    <e v="#DIV/0!"/>
    <e v="#DIV/0!"/>
    <d v="1900-01-05T03:43:40"/>
    <d v="1899-12-30T01:10:46"/>
    <x v="4"/>
    <n v="56"/>
    <s v="Same"/>
    <s v="Stress Testing Banks"/>
    <n v="3"/>
    <n v="2"/>
    <n v="1"/>
    <n v="3"/>
    <n v="3"/>
    <n v="3"/>
    <n v="3"/>
    <x v="58"/>
    <n v="72.022903451227236"/>
    <x v="0"/>
    <x v="0"/>
    <x v="0"/>
    <s v="U"/>
    <s v="U"/>
    <n v="3"/>
    <m/>
    <n v="1.3100436681222707E-2"/>
    <n v="4.1666666666666664E-2"/>
    <n v="0.125"/>
    <x v="0"/>
    <x v="0"/>
  </r>
  <r>
    <n v="71"/>
    <e v="#DIV/0!"/>
    <e v="#DIV/0!"/>
    <d v="1900-01-05T04:41:22"/>
    <d v="1899-12-30T00:57:42"/>
    <x v="4"/>
    <n v="54"/>
    <s v="Same"/>
    <s v="Supervisory Guidance on Model Risk Management"/>
    <n v="4"/>
    <n v="2"/>
    <n v="1"/>
    <n v="2"/>
    <n v="2"/>
    <n v="1"/>
    <n v="2"/>
    <x v="59"/>
    <n v="72.491752482380917"/>
    <x v="0"/>
    <x v="0"/>
    <x v="0"/>
    <s v="U"/>
    <s v="U"/>
    <n v="3"/>
    <m/>
    <n v="2.8089887640449437E-3"/>
    <n v="1.3888888888888888E-2"/>
    <n v="4.1666666666666664E-2"/>
    <x v="0"/>
    <x v="0"/>
  </r>
  <r>
    <n v="72"/>
    <e v="#DIV/0!"/>
    <e v="#DIV/0!"/>
    <d v="1900-01-05T05:11:23"/>
    <d v="1899-12-30T00:30:01"/>
    <x v="4"/>
    <n v="55"/>
    <s v="Same"/>
    <s v="Case Study-Model Risk and Model Validation"/>
    <n v="3"/>
    <n v="2"/>
    <n v="1"/>
    <n v="3"/>
    <n v="3"/>
    <n v="4"/>
    <n v="3"/>
    <x v="60"/>
    <n v="72.735656903267042"/>
    <x v="0"/>
    <x v="0"/>
    <x v="0"/>
    <s v="U"/>
    <s v="U"/>
    <n v="2"/>
    <m/>
    <n v="1.1235955056179775E-2"/>
    <n v="5.5555555555555552E-2"/>
    <n v="0.1111111111111111"/>
    <x v="0"/>
    <x v="0"/>
  </r>
  <r>
    <n v="73"/>
    <e v="#DIV/0!"/>
    <e v="#DIV/0!"/>
    <d v="1900-01-05T06:20:58"/>
    <d v="1899-12-30T01:09:35"/>
    <x v="3"/>
    <n v="71"/>
    <s v="Same"/>
    <s v="The Failure Mechanics of Dealer Banks"/>
    <n v="3"/>
    <n v="3"/>
    <n v="1"/>
    <n v="3"/>
    <n v="3"/>
    <n v="3"/>
    <n v="3"/>
    <x v="61"/>
    <n v="73.301065541356763"/>
    <x v="0"/>
    <x v="0"/>
    <x v="0"/>
    <s v="U"/>
    <s v="U"/>
    <n v="3"/>
    <m/>
    <n v="8.4269662921348312E-3"/>
    <n v="4.4776119402985072E-2"/>
    <n v="0.13432835820895522"/>
    <x v="0"/>
    <x v="0"/>
  </r>
  <r>
    <n v="74"/>
    <e v="#DIV/0!"/>
    <e v="#DIV/0!"/>
    <d v="1900-01-05T07:45:37"/>
    <d v="1899-12-30T01:24:39"/>
    <x v="3"/>
    <n v="72"/>
    <s v="Same"/>
    <s v="Liquidity Stress Testing"/>
    <n v="3"/>
    <n v="2"/>
    <n v="1"/>
    <n v="2"/>
    <n v="2"/>
    <n v="3"/>
    <n v="3"/>
    <x v="62"/>
    <n v="73.988900385155006"/>
    <x v="0"/>
    <x v="0"/>
    <x v="0"/>
    <s v="U"/>
    <s v="U"/>
    <n v="2"/>
    <m/>
    <n v="8.4269662921348312E-3"/>
    <n v="4.4776119402985072E-2"/>
    <n v="8.9552238805970144E-2"/>
    <x v="0"/>
    <x v="0"/>
  </r>
  <r>
    <n v="75"/>
    <e v="#DIV/0!"/>
    <e v="#DIV/0!"/>
    <d v="1900-01-05T09:02:33"/>
    <d v="1899-12-30T01:16:56"/>
    <x v="3"/>
    <n v="73"/>
    <s v="Same"/>
    <s v="Liquidity Risk Reporting and Stress Testing"/>
    <n v="3"/>
    <n v="3"/>
    <n v="2"/>
    <n v="3"/>
    <n v="4"/>
    <n v="3"/>
    <n v="3"/>
    <x v="63"/>
    <n v="74.614032426693257"/>
    <x v="0"/>
    <x v="0"/>
    <x v="0"/>
    <s v="U"/>
    <s v="U"/>
    <n v="3"/>
    <m/>
    <n v="8.4269662921348312E-3"/>
    <n v="4.4776119402985072E-2"/>
    <n v="0.13432835820895522"/>
    <x v="0"/>
    <x v="0"/>
  </r>
  <r>
    <n v="76"/>
    <e v="#DIV/0!"/>
    <e v="#DIV/0!"/>
    <d v="1900-01-05T10:38:23"/>
    <d v="1899-12-30T01:35:50"/>
    <x v="3"/>
    <n v="74"/>
    <s v="Same"/>
    <s v="Contingency Funding Planning"/>
    <n v="3"/>
    <n v="3"/>
    <n v="1"/>
    <n v="3"/>
    <n v="3"/>
    <n v="3"/>
    <n v="3"/>
    <x v="64"/>
    <n v="75.392738934241962"/>
    <x v="0"/>
    <x v="0"/>
    <x v="0"/>
    <s v="U"/>
    <s v="U"/>
    <n v="3"/>
    <m/>
    <n v="8.4269662921348312E-3"/>
    <n v="4.4776119402985072E-2"/>
    <n v="0.13432835820895522"/>
    <x v="0"/>
    <x v="0"/>
  </r>
  <r>
    <n v="77"/>
    <e v="#DIV/0!"/>
    <e v="#DIV/0!"/>
    <d v="1900-01-05T12:56:56"/>
    <d v="1899-12-30T02:18:33"/>
    <x v="3"/>
    <n v="75"/>
    <s v="Same"/>
    <s v="Managing and Pricing Deposit Services"/>
    <n v="3"/>
    <n v="3"/>
    <n v="2"/>
    <n v="3"/>
    <n v="4"/>
    <n v="3"/>
    <n v="3"/>
    <x v="65"/>
    <n v="76.518545403329341"/>
    <x v="0"/>
    <x v="0"/>
    <x v="0"/>
    <s v="U"/>
    <s v="U"/>
    <n v="2"/>
    <m/>
    <n v="8.4269662921348312E-3"/>
    <n v="4.4776119402985072E-2"/>
    <n v="8.9552238805970144E-2"/>
    <x v="0"/>
    <x v="0"/>
  </r>
  <r>
    <n v="78"/>
    <e v="#DIV/0!"/>
    <e v="#DIV/0!"/>
    <d v="1900-01-05T14:14:51"/>
    <d v="1899-12-30T01:17:55"/>
    <x v="3"/>
    <n v="76"/>
    <s v="Same"/>
    <s v="Managing Non-deposit Liabilities"/>
    <n v="4"/>
    <n v="2"/>
    <n v="3"/>
    <n v="3"/>
    <n v="4"/>
    <n v="3"/>
    <n v="3"/>
    <x v="66"/>
    <n v="77.151667650771131"/>
    <x v="0"/>
    <x v="0"/>
    <x v="0"/>
    <s v="U"/>
    <s v="U"/>
    <n v="3"/>
    <m/>
    <n v="8.4269662921348312E-3"/>
    <n v="4.4776119402985072E-2"/>
    <n v="0.13432835820895522"/>
    <x v="0"/>
    <x v="0"/>
  </r>
  <r>
    <n v="79"/>
    <e v="#DIV/0!"/>
    <e v="#DIV/0!"/>
    <d v="1900-01-05T14:40:06"/>
    <d v="1899-12-30T00:25:15"/>
    <x v="4"/>
    <n v="62"/>
    <s v="Same"/>
    <s v="High-Level Summary of Basel III Reforms"/>
    <n v="3"/>
    <n v="2"/>
    <n v="1"/>
    <n v="3"/>
    <n v="3"/>
    <n v="4"/>
    <n v="3"/>
    <x v="67"/>
    <n v="77.356839887107881"/>
    <x v="0"/>
    <x v="0"/>
    <x v="0"/>
    <s v="U"/>
    <s v="U"/>
    <n v="2"/>
    <m/>
    <n v="1.1235955056179775E-2"/>
    <n v="5.5555555555555552E-2"/>
    <n v="0.1111111111111111"/>
    <x v="0"/>
    <x v="0"/>
  </r>
  <r>
    <n v="80"/>
    <e v="#DIV/0!"/>
    <e v="#DIV/0!"/>
    <d v="1900-01-05T15:49:17"/>
    <d v="1899-12-30T01:09:11"/>
    <x v="4"/>
    <n v="63"/>
    <s v="Same"/>
    <s v="Basel III-Finalising Post-Crisis Reforms"/>
    <n v="3"/>
    <n v="2"/>
    <n v="2"/>
    <n v="4"/>
    <n v="4"/>
    <n v="4"/>
    <n v="4"/>
    <x v="68"/>
    <n v="77.918998271948695"/>
    <x v="0"/>
    <x v="0"/>
    <x v="0"/>
    <s v="U"/>
    <s v="U"/>
    <n v="2"/>
    <m/>
    <n v="1.1235955056179775E-2"/>
    <n v="5.5555555555555552E-2"/>
    <n v="0.1111111111111111"/>
    <x v="0"/>
    <x v="0"/>
  </r>
  <r>
    <n v="81"/>
    <e v="#DIV/0!"/>
    <e v="#DIV/0!"/>
    <d v="1900-01-07T13:06:44"/>
    <d v="1899-12-30T01:43:14"/>
    <x v="4"/>
    <n v="61"/>
    <s v="Same"/>
    <s v="Solvency, Liquidity, and Other Regulation After the Global Financial Crisis"/>
    <n v="8"/>
    <n v="3"/>
    <n v="2"/>
    <n v="3"/>
    <n v="4"/>
    <n v="5"/>
    <n v="4"/>
    <x v="69"/>
    <n v="78.757834464602041"/>
    <x v="0"/>
    <x v="0"/>
    <x v="0"/>
    <s v="U"/>
    <s v="U"/>
    <n v="3"/>
    <m/>
    <n v="1.4044943820224719E-2"/>
    <n v="6.9444444444444448E-2"/>
    <n v="0.20833333333333334"/>
    <x v="0"/>
    <x v="0"/>
  </r>
  <r>
    <n v="82"/>
    <e v="#DIV/0!"/>
    <e v="#DIV/0!"/>
    <d v="1900-01-05T18:59:37"/>
    <d v="1899-12-30T01:27:06"/>
    <x v="3"/>
    <n v="77"/>
    <s v="Same"/>
    <s v="Repurchase Agreements and Financing"/>
    <n v="7"/>
    <n v="3"/>
    <n v="2"/>
    <n v="3"/>
    <n v="3"/>
    <n v="4"/>
    <n v="3"/>
    <x v="70"/>
    <n v="79.465577109549784"/>
    <x v="0"/>
    <x v="0"/>
    <x v="0"/>
    <s v="U"/>
    <s v="U"/>
    <n v="3"/>
    <m/>
    <n v="1.1235955056179775E-2"/>
    <n v="5.9701492537313432E-2"/>
    <n v="0.17910447761194029"/>
    <x v="0"/>
    <x v="0"/>
  </r>
  <r>
    <n v="83"/>
    <e v="#DIV/0!"/>
    <e v="#DIV/0!"/>
    <d v="1900-01-05T21:12:12"/>
    <d v="1899-12-30T02:12:35"/>
    <x v="3"/>
    <n v="78"/>
    <s v="Same"/>
    <s v="Liquidity Transfer Pricing-A Guide to Better Practice"/>
    <n v="4"/>
    <n v="4"/>
    <n v="2"/>
    <n v="3"/>
    <n v="4"/>
    <n v="4"/>
    <n v="3"/>
    <x v="71"/>
    <n v="80.542900634341095"/>
    <x v="0"/>
    <x v="0"/>
    <x v="0"/>
    <s v="U"/>
    <s v="U"/>
    <n v="2"/>
    <m/>
    <n v="1.1235955056179775E-2"/>
    <n v="5.9701492537313432E-2"/>
    <n v="0.11940298507462686"/>
    <x v="0"/>
    <x v="0"/>
  </r>
  <r>
    <n v="84"/>
    <e v="#DIV/0!"/>
    <e v="#DIV/0!"/>
    <d v="1900-01-05T22:16:31"/>
    <d v="1899-12-30T01:04:19"/>
    <x v="3"/>
    <n v="79"/>
    <s v="Same"/>
    <s v="The US Dollar Shortage in Global Banking and the International Policy Response"/>
    <n v="3"/>
    <n v="2"/>
    <n v="1"/>
    <n v="2"/>
    <n v="3"/>
    <n v="3"/>
    <n v="3"/>
    <x v="72"/>
    <n v="81.065514271320311"/>
    <x v="0"/>
    <x v="0"/>
    <x v="0"/>
    <s v="U"/>
    <s v="U"/>
    <n v="2"/>
    <m/>
    <n v="8.4269662921348312E-3"/>
    <n v="4.4776119402985072E-2"/>
    <n v="8.9552238805970144E-2"/>
    <x v="0"/>
    <x v="0"/>
  </r>
  <r>
    <n v="85"/>
    <e v="#DIV/0!"/>
    <e v="#DIV/0!"/>
    <d v="1900-01-05T22:52:17"/>
    <d v="1899-12-30T00:35:46"/>
    <x v="3"/>
    <n v="80"/>
    <s v="Same"/>
    <s v="Covered Interest Parity Lost-Understanding the Cross-Currency Basis"/>
    <n v="3"/>
    <n v="1"/>
    <n v="2"/>
    <n v="2"/>
    <n v="4"/>
    <n v="4"/>
    <n v="4"/>
    <x v="73"/>
    <n v="81.356141082659363"/>
    <x v="0"/>
    <x v="0"/>
    <x v="0"/>
    <s v="U"/>
    <s v="U"/>
    <n v="3"/>
    <m/>
    <n v="1.1235955056179775E-2"/>
    <n v="5.9701492537313432E-2"/>
    <n v="0.17910447761194029"/>
    <x v="0"/>
    <x v="0"/>
  </r>
  <r>
    <n v="86"/>
    <e v="#DIV/0!"/>
    <e v="#DIV/0!"/>
    <d v="1900-01-06T00:34:05"/>
    <d v="1899-12-30T01:41:48"/>
    <x v="3"/>
    <n v="81"/>
    <s v="Same"/>
    <s v="Risk Management for Changing Interest Rates-Asset-Liability Management and Duration Techniques"/>
    <n v="4"/>
    <n v="3"/>
    <n v="3"/>
    <n v="3"/>
    <n v="4"/>
    <n v="5"/>
    <n v="4"/>
    <x v="74"/>
    <n v="82.183330534504151"/>
    <x v="0"/>
    <x v="0"/>
    <x v="0"/>
    <s v="U"/>
    <s v="U"/>
    <n v="3"/>
    <m/>
    <n v="1.4044943820224719E-2"/>
    <n v="7.4626865671641784E-2"/>
    <n v="0.22388059701492535"/>
    <x v="0"/>
    <x v="0"/>
  </r>
  <r>
    <n v="87"/>
    <e v="#DIV/0!"/>
    <e v="#DIV/0!"/>
    <d v="1900-01-06T02:20:56"/>
    <d v="1899-12-30T01:46:51"/>
    <x v="3"/>
    <n v="82"/>
    <s v="Same"/>
    <s v="Illiquid Assets"/>
    <n v="6"/>
    <n v="3"/>
    <n v="1"/>
    <n v="3"/>
    <n v="3"/>
    <n v="4"/>
    <n v="3"/>
    <x v="75"/>
    <n v="83.051554433616275"/>
    <x v="0"/>
    <x v="0"/>
    <x v="0"/>
    <s v="U"/>
    <s v="U"/>
    <n v="2"/>
    <m/>
    <n v="1.1235955056179775E-2"/>
    <n v="5.9701492537313432E-2"/>
    <n v="0.11940298507462686"/>
    <x v="0"/>
    <x v="0"/>
  </r>
  <r>
    <n v="88"/>
    <e v="#DIV/0!"/>
    <e v="#DIV/0!"/>
    <d v="1900-01-06T03:36:03"/>
    <d v="1899-12-30T01:15:07"/>
    <x v="4"/>
    <n v="49"/>
    <s v="Same"/>
    <s v="Sound Management of Risks related to Money Laundering and Financing of Terrorism"/>
    <n v="3"/>
    <n v="1"/>
    <n v="1"/>
    <n v="2"/>
    <n v="2"/>
    <n v="2"/>
    <n v="2"/>
    <x v="76"/>
    <n v="83.661924908315783"/>
    <x v="0"/>
    <x v="0"/>
    <x v="0"/>
    <s v="U"/>
    <s v="U"/>
    <n v="3"/>
    <m/>
    <n v="5.6179775280898875E-3"/>
    <n v="2.7777777777777776E-2"/>
    <n v="8.3333333333333329E-2"/>
    <x v="0"/>
    <x v="0"/>
  </r>
  <r>
    <n v="89"/>
    <e v="#DIV/0!"/>
    <e v="#DIV/0!"/>
    <d v="1900-01-06T04:52:11"/>
    <d v="1899-12-30T01:16:08"/>
    <x v="4"/>
    <n v="50"/>
    <s v="Same"/>
    <s v="Case Study-Financial Crime and Fraud"/>
    <n v="2"/>
    <n v="2"/>
    <n v="1"/>
    <n v="3"/>
    <n v="2"/>
    <n v="3"/>
    <n v="2"/>
    <x v="77"/>
    <n v="84.280556443356218"/>
    <x v="0"/>
    <x v="0"/>
    <x v="0"/>
    <s v="U"/>
    <s v="U"/>
    <n v="3"/>
    <m/>
    <n v="8.4269662921348312E-3"/>
    <n v="4.1666666666666664E-2"/>
    <n v="0.125"/>
    <x v="0"/>
    <x v="0"/>
  </r>
  <r>
    <n v="90"/>
    <e v="#DIV/0!"/>
    <e v="#DIV/0!"/>
    <d v="1900-01-07T13:06:44"/>
    <d v="1899-12-30T02:59:48"/>
    <x v="5"/>
    <n v="99"/>
    <s v="Same"/>
    <s v="Climate-Related Risk Drivers and their Transmission Channels"/>
    <n v="4"/>
    <n v="3"/>
    <n v="1"/>
    <n v="2"/>
    <n v="3"/>
    <n v="3"/>
    <n v="3"/>
    <x v="78"/>
    <n v="85.741545278736311"/>
    <x v="0"/>
    <x v="0"/>
    <x v="0"/>
    <s v="U"/>
    <s v="U"/>
    <n v="3"/>
    <m/>
    <n v="8.4269662921348312E-3"/>
    <n v="0.1"/>
    <n v="0.30000000000000004"/>
    <x v="0"/>
    <x v="0"/>
  </r>
  <r>
    <n v="91"/>
    <e v="#DIV/0!"/>
    <e v="#DIV/0!"/>
    <d v="1900-01-06T10:15:56"/>
    <d v="1899-12-30T02:23:57"/>
    <x v="5"/>
    <n v="100"/>
    <s v="Same"/>
    <s v="Climate-Related Financial Risks-Measurement Methodologies"/>
    <n v="6"/>
    <n v="3"/>
    <n v="1"/>
    <n v="2"/>
    <n v="3"/>
    <n v="3"/>
    <n v="3"/>
    <x v="79"/>
    <n v="86.911230166683822"/>
    <x v="0"/>
    <x v="0"/>
    <x v="0"/>
    <s v="U"/>
    <s v="U"/>
    <n v="3"/>
    <m/>
    <n v="8.4269662921348312E-3"/>
    <n v="0.1"/>
    <n v="0.30000000000000004"/>
    <x v="0"/>
    <x v="0"/>
  </r>
  <r>
    <n v="92"/>
    <e v="#DIV/0!"/>
    <e v="#DIV/0!"/>
    <d v="1900-01-06T11:27:34"/>
    <d v="1899-12-30T01:11:38"/>
    <x v="5"/>
    <n v="101"/>
    <s v="changes"/>
    <s v="Principles for the Effective Management and Supervision of Climate-Related Financial Risks"/>
    <n v="4"/>
    <n v="3"/>
    <n v="1"/>
    <n v="2"/>
    <n v="2"/>
    <n v="3"/>
    <n v="2"/>
    <x v="80"/>
    <n v="87.49329635267415"/>
    <x v="0"/>
    <x v="0"/>
    <x v="0"/>
    <s v="U"/>
    <s v="U"/>
    <n v="3"/>
    <m/>
    <n v="8.4269662921348312E-3"/>
    <n v="0.1"/>
    <n v="0.30000000000000004"/>
    <x v="0"/>
    <x v="0"/>
  </r>
  <r>
    <n v="93"/>
    <e v="#DIV/0!"/>
    <e v="#DIV/0!"/>
    <d v="1900-01-06T12:59:45"/>
    <d v="1899-12-30T01:32:11"/>
    <x v="4"/>
    <n v="40"/>
    <s v="Same"/>
    <s v="Introduction to Operational Risk and Resilience"/>
    <n v="4"/>
    <n v="4"/>
    <n v="1"/>
    <n v="2"/>
    <n v="3"/>
    <n v="2"/>
    <n v="3"/>
    <x v="81"/>
    <n v="88.24234429932666"/>
    <x v="0"/>
    <x v="0"/>
    <x v="0"/>
    <s v="U"/>
    <s v="U"/>
    <n v="3"/>
    <m/>
    <n v="5.6179775280898875E-3"/>
    <n v="2.7777777777777776E-2"/>
    <n v="8.3333333333333329E-2"/>
    <x v="0"/>
    <x v="0"/>
  </r>
  <r>
    <n v="94"/>
    <e v="#DIV/0!"/>
    <e v="#DIV/0!"/>
    <d v="1900-01-06T14:52:19"/>
    <d v="1899-12-30T01:52:34"/>
    <x v="4"/>
    <n v="47"/>
    <s v="Same"/>
    <s v="Cyber-resilience-Range of practices"/>
    <n v="5"/>
    <n v="3"/>
    <n v="1"/>
    <n v="2"/>
    <n v="2"/>
    <n v="2"/>
    <n v="3"/>
    <x v="82"/>
    <n v="89.157019734454309"/>
    <x v="0"/>
    <x v="0"/>
    <x v="0"/>
    <s v="U"/>
    <s v="U"/>
    <n v="2"/>
    <m/>
    <n v="5.6179775280898875E-3"/>
    <n v="2.7777777777777776E-2"/>
    <n v="5.5555555555555552E-2"/>
    <x v="0"/>
    <x v="0"/>
  </r>
  <r>
    <n v="95"/>
    <e v="#DIV/0!"/>
    <e v="#DIV/0!"/>
    <d v="1900-01-06T15:33:18"/>
    <d v="1899-12-30T00:40:59"/>
    <x v="4"/>
    <n v="48"/>
    <s v="Same"/>
    <s v="Case Study-Cyberthreats and Information Security Risks"/>
    <n v="2"/>
    <n v="2"/>
    <n v="1"/>
    <n v="2"/>
    <n v="2"/>
    <n v="2"/>
    <n v="2"/>
    <x v="83"/>
    <n v="89.490035265247755"/>
    <x v="0"/>
    <x v="0"/>
    <x v="0"/>
    <s v="U"/>
    <s v="U"/>
    <n v="3"/>
    <m/>
    <n v="5.6179775280898875E-3"/>
    <n v="2.7777777777777776E-2"/>
    <n v="8.3333333333333329E-2"/>
    <x v="0"/>
    <x v="0"/>
  </r>
  <r>
    <n v="96"/>
    <e v="#DIV/0!"/>
    <e v="#DIV/0!"/>
    <d v="1900-01-07T13:06:44"/>
    <d v="1899-12-30T00:33:26"/>
    <x v="4"/>
    <n v="53"/>
    <s v="Same"/>
    <s v="Case Study-Investor Protection and Compliance Risks in Investment Activities"/>
    <n v="2"/>
    <n v="2"/>
    <n v="1"/>
    <n v="3"/>
    <n v="2"/>
    <n v="2"/>
    <n v="2"/>
    <x v="84"/>
    <n v="89.761702265968225"/>
    <x v="0"/>
    <x v="0"/>
    <x v="0"/>
    <s v="U"/>
    <s v="U"/>
    <n v="3"/>
    <m/>
    <n v="5.6179775280898875E-3"/>
    <n v="2.7777777777777776E-2"/>
    <n v="8.3333333333333329E-2"/>
    <x v="0"/>
    <x v="0"/>
  </r>
  <r>
    <n v="97"/>
    <e v="#DIV/0!"/>
    <e v="#DIV/0!"/>
    <d v="1900-01-06T19:06:44"/>
    <d v="1899-12-30T03:00:00"/>
    <x v="5"/>
    <n v="94"/>
    <s v="New"/>
    <s v="Review of the Federal Reserves Supervision and Regulation of Silicon Valley Bank"/>
    <n v="6"/>
    <n v="4"/>
    <n v="1"/>
    <n v="3"/>
    <n v="2"/>
    <n v="3"/>
    <n v="3"/>
    <x v="25"/>
    <n v="91.224316227972764"/>
    <x v="0"/>
    <x v="0"/>
    <x v="0"/>
    <s v="U"/>
    <s v="U"/>
    <n v="3"/>
    <m/>
    <n v="8.4269662921348312E-3"/>
    <n v="0.1"/>
    <n v="0.30000000000000004"/>
    <x v="0"/>
    <x v="0"/>
  </r>
  <r>
    <n v="98"/>
    <e v="#DIV/0!"/>
    <e v="#DIV/0!"/>
    <d v="1900-01-06T22:06:44"/>
    <d v="1899-12-30T03:00:00"/>
    <x v="5"/>
    <n v="95"/>
    <s v="New"/>
    <s v="The Credit Suisse CoCo Wipeout-Facts, Misperceptions, and Lessons for Financial Regulation"/>
    <n v="4"/>
    <n v="3"/>
    <n v="1"/>
    <n v="3"/>
    <n v="2"/>
    <n v="3"/>
    <n v="2"/>
    <x v="25"/>
    <n v="92.686930189977303"/>
    <x v="0"/>
    <x v="0"/>
    <x v="0"/>
    <s v="U"/>
    <s v="U"/>
    <n v="2"/>
    <m/>
    <n v="8.4269662921348312E-3"/>
    <n v="0.1"/>
    <n v="0.2"/>
    <x v="0"/>
    <x v="0"/>
  </r>
  <r>
    <n v="99"/>
    <e v="#DIV/0!"/>
    <e v="#DIV/0!"/>
    <d v="1900-01-07T01:06:44"/>
    <d v="1899-12-30T03:00:00"/>
    <x v="5"/>
    <n v="96"/>
    <s v="New"/>
    <s v="Artificial Intelligence and Bank Supervision"/>
    <n v="4"/>
    <n v="3"/>
    <n v="1"/>
    <n v="3"/>
    <n v="2"/>
    <n v="3"/>
    <n v="3"/>
    <x v="25"/>
    <n v="94.149544151981843"/>
    <x v="0"/>
    <x v="0"/>
    <x v="0"/>
    <s v="U"/>
    <s v="U"/>
    <n v="3"/>
    <m/>
    <n v="8.4269662921348312E-3"/>
    <n v="0.1"/>
    <n v="0.30000000000000004"/>
    <x v="0"/>
    <x v="0"/>
  </r>
  <r>
    <n v="100"/>
    <e v="#DIV/0!"/>
    <e v="#DIV/0!"/>
    <d v="1900-01-07T04:06:44"/>
    <d v="1899-12-30T03:00:00"/>
    <x v="5"/>
    <n v="97"/>
    <s v="New"/>
    <s v="Financial Risk Management and Explainable, Trustworthy, Responsible AI"/>
    <n v="5"/>
    <n v="3"/>
    <n v="1"/>
    <n v="2"/>
    <n v="2"/>
    <n v="3"/>
    <n v="3"/>
    <x v="25"/>
    <n v="95.612158113986382"/>
    <x v="0"/>
    <x v="0"/>
    <x v="0"/>
    <s v="U"/>
    <s v="U"/>
    <n v="2"/>
    <m/>
    <n v="8.4269662921348312E-3"/>
    <n v="0.1"/>
    <n v="0.2"/>
    <x v="0"/>
    <x v="0"/>
  </r>
  <r>
    <n v="101"/>
    <e v="#DIV/0!"/>
    <e v="#DIV/0!"/>
    <d v="1900-01-07T07:06:44"/>
    <d v="1899-12-30T03:00:00"/>
    <x v="5"/>
    <n v="98"/>
    <s v="New"/>
    <s v="Artificial Intelligence Risk Management Framework"/>
    <n v="5"/>
    <n v="3"/>
    <n v="1"/>
    <n v="3"/>
    <n v="2"/>
    <n v="3"/>
    <n v="3"/>
    <x v="25"/>
    <n v="97.074772075990921"/>
    <x v="0"/>
    <x v="0"/>
    <x v="0"/>
    <s v="U"/>
    <s v="U"/>
    <n v="2"/>
    <m/>
    <n v="8.4269662921348312E-3"/>
    <n v="0.1"/>
    <n v="0.2"/>
    <x v="0"/>
    <x v="0"/>
  </r>
  <r>
    <n v="102"/>
    <e v="#DIV/0!"/>
    <e v="#DIV/0!"/>
    <d v="1900-01-07T10:06:44"/>
    <d v="1899-12-30T03:00:00"/>
    <x v="5"/>
    <n v="102"/>
    <s v="New"/>
    <s v="The Crypto Ecosystem-Key Elements and Risks"/>
    <n v="3"/>
    <n v="2"/>
    <n v="1"/>
    <n v="3"/>
    <n v="2"/>
    <n v="3"/>
    <n v="3"/>
    <x v="25"/>
    <n v="98.537386037995461"/>
    <x v="0"/>
    <x v="0"/>
    <x v="0"/>
    <s v="U"/>
    <s v="U"/>
    <n v="3"/>
    <m/>
    <n v="8.4269662921348312E-3"/>
    <n v="0.1"/>
    <n v="0.30000000000000004"/>
    <x v="0"/>
    <x v="0"/>
  </r>
  <r>
    <n v="103"/>
    <e v="#DIV/0!"/>
    <e v="#DIV/0!"/>
    <d v="1900-01-07T13:06:44"/>
    <d v="1899-12-30T03:00:00"/>
    <x v="5"/>
    <n v="103"/>
    <s v="New"/>
    <s v="Digital Resilience and Financial Stability"/>
    <n v="3"/>
    <n v="2"/>
    <n v="1"/>
    <n v="3"/>
    <n v="2"/>
    <n v="3"/>
    <n v="3"/>
    <x v="25"/>
    <n v="100"/>
    <x v="0"/>
    <x v="0"/>
    <x v="0"/>
    <s v="U"/>
    <s v="U"/>
    <n v="3"/>
    <m/>
    <n v="8.4269662921348312E-3"/>
    <n v="0.1"/>
    <n v="0.3000000000000000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dataField="1" showAll="0">
      <items count="4">
        <item m="1" x="1"/>
        <item x="0"/>
        <item m="1" x="2"/>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19"/>
  </rowFields>
  <rowItems count="2">
    <i>
      <x v="1"/>
    </i>
    <i t="grand">
      <x/>
    </i>
  </rowItems>
  <colItems count="1">
    <i/>
  </colItems>
  <dataFields count="1">
    <dataField name="Count of Self Study" fld="19" subtotal="count" baseField="0" baseItem="0"/>
  </dataFields>
  <formats count="6">
    <format dxfId="53">
      <pivotArea type="all" dataOnly="0" outline="0" fieldPosition="0"/>
    </format>
    <format dxfId="52">
      <pivotArea outline="0" collapsedLevelsAreSubtotals="1" fieldPosition="0"/>
    </format>
    <format dxfId="51">
      <pivotArea field="19" type="button" dataOnly="0" labelOnly="1" outline="0" axis="axisRow" fieldPosition="0"/>
    </format>
    <format dxfId="50">
      <pivotArea dataOnly="0" labelOnly="1" fieldPosition="0">
        <references count="1">
          <reference field="19" count="0"/>
        </references>
      </pivotArea>
    </format>
    <format dxfId="49">
      <pivotArea dataOnly="0" labelOnly="1" grandRow="1" outline="0" fieldPosition="0"/>
    </format>
    <format dxfId="48">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19" count="1" selected="0">
            <x v="0"/>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19" count="1" selected="0">
            <x v="0"/>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19" count="1" selected="0">
            <x v="0"/>
          </reference>
        </references>
      </pivotArea>
    </chartFormat>
    <chartFormat chart="6" format="7">
      <pivotArea type="data" outline="0" fieldPosition="0">
        <references count="2">
          <reference field="4294967294" count="1" selected="0">
            <x v="0"/>
          </reference>
          <reference field="19" count="1" selected="0">
            <x v="1"/>
          </reference>
        </references>
      </pivotArea>
    </chartFormat>
    <chartFormat chart="6" format="8">
      <pivotArea type="data" outline="0" fieldPosition="0">
        <references count="2">
          <reference field="4294967294" count="1" selected="0">
            <x v="0"/>
          </reference>
          <reference field="1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numFmtId="9" showAll="0"/>
    <pivotField numFmtId="9" showAll="0"/>
    <pivotField numFmtId="4" showAll="0"/>
    <pivotField axis="axisRow" dataField="1" showAll="0">
      <items count="4">
        <item m="1" x="1"/>
        <item x="0"/>
        <item m="1" x="2"/>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8"/>
  </rowFields>
  <rowItems count="2">
    <i>
      <x v="1"/>
    </i>
    <i t="grand">
      <x/>
    </i>
  </rowItems>
  <colItems count="1">
    <i/>
  </colItems>
  <dataFields count="1">
    <dataField name="Count of Practice" fld="28" subtotal="count" baseField="0" baseItem="0"/>
  </dataFields>
  <formats count="6">
    <format dxfId="59">
      <pivotArea type="all" dataOnly="0" outline="0" fieldPosition="0"/>
    </format>
    <format dxfId="58">
      <pivotArea outline="0" collapsedLevelsAreSubtotals="1" fieldPosition="0"/>
    </format>
    <format dxfId="57">
      <pivotArea field="28" type="button" dataOnly="0" labelOnly="1" outline="0" axis="axisRow" fieldPosition="0"/>
    </format>
    <format dxfId="56">
      <pivotArea dataOnly="0" labelOnly="1" fieldPosition="0">
        <references count="1">
          <reference field="28" count="0"/>
        </references>
      </pivotArea>
    </format>
    <format dxfId="55">
      <pivotArea dataOnly="0" labelOnly="1" grandRow="1" outline="0" fieldPosition="0"/>
    </format>
    <format dxfId="54">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28"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8" count="1" selected="0">
            <x v="1"/>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28" count="1" selected="0">
            <x v="1"/>
          </reference>
        </references>
      </pivotArea>
    </chartFormat>
    <chartFormat chart="6" format="7">
      <pivotArea type="data" outline="0" fieldPosition="0">
        <references count="2">
          <reference field="4294967294" count="1" selected="0">
            <x v="0"/>
          </reference>
          <reference field="28" count="1" selected="0">
            <x v="0"/>
          </reference>
        </references>
      </pivotArea>
    </chartFormat>
    <chartFormat chart="6" format="8">
      <pivotArea type="data" outline="0" fieldPosition="0">
        <references count="2">
          <reference field="4294967294" count="1" selected="0">
            <x v="0"/>
          </reference>
          <reference field="2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axis="axisRow" dataField="1" showAll="0">
      <items count="4">
        <item m="1" x="1"/>
        <item x="0"/>
        <item m="1" x="2"/>
        <item t="default"/>
      </items>
    </pivotField>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Count of Revision" fld="20" subtotal="count" baseField="0" baseItem="0"/>
  </dataFields>
  <formats count="6">
    <format dxfId="65">
      <pivotArea type="all" dataOnly="0" outline="0" fieldPosition="0"/>
    </format>
    <format dxfId="64">
      <pivotArea outline="0" collapsedLevelsAreSubtotals="1" fieldPosition="0"/>
    </format>
    <format dxfId="63">
      <pivotArea field="20" type="button" dataOnly="0" labelOnly="1" outline="0" axis="axisRow" fieldPosition="0"/>
    </format>
    <format dxfId="62">
      <pivotArea dataOnly="0" labelOnly="1" fieldPosition="0">
        <references count="1">
          <reference field="20" count="0"/>
        </references>
      </pivotArea>
    </format>
    <format dxfId="61">
      <pivotArea dataOnly="0" labelOnly="1" grandRow="1" outline="0" fieldPosition="0"/>
    </format>
    <format dxfId="60">
      <pivotArea dataOnly="0" labelOnly="1" outline="0" axis="axisValues" fieldPosition="0"/>
    </format>
  </formats>
  <chartFormats count="8">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20" count="1" selected="0">
            <x v="1"/>
          </reference>
        </references>
      </pivotArea>
    </chartFormat>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20"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0" count="1" selected="0">
            <x v="1"/>
          </reference>
        </references>
      </pivotArea>
    </chartFormat>
    <chartFormat chart="5" format="7">
      <pivotArea type="data" outline="0" fieldPosition="0">
        <references count="2">
          <reference field="4294967294" count="1" selected="0">
            <x v="0"/>
          </reference>
          <reference field="20" count="1" selected="0">
            <x v="0"/>
          </reference>
        </references>
      </pivotArea>
    </chartFormat>
    <chartFormat chart="5" format="8">
      <pivotArea type="data" outline="0" fieldPosition="0">
        <references count="2">
          <reference field="4294967294" count="1" selected="0">
            <x v="0"/>
          </reference>
          <reference field="2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dataField="1" showAll="0" sortType="ascending">
      <items count="4">
        <item m="1" x="1"/>
        <item x="0"/>
        <item m="1" x="2"/>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9"/>
  </rowFields>
  <rowItems count="2">
    <i>
      <x v="1"/>
    </i>
    <i t="grand">
      <x/>
    </i>
  </rowItems>
  <colItems count="1">
    <i/>
  </colItems>
  <dataFields count="1">
    <dataField name="Count of Extra Practice" fld="29" subtotal="count" baseField="0" baseItem="0"/>
  </dataFields>
  <formats count="6">
    <format dxfId="71">
      <pivotArea type="all" dataOnly="0" outline="0" fieldPosition="0"/>
    </format>
    <format dxfId="70">
      <pivotArea outline="0" collapsedLevelsAreSubtotals="1" fieldPosition="0"/>
    </format>
    <format dxfId="69">
      <pivotArea field="29" type="button" dataOnly="0" labelOnly="1" outline="0" axis="axisRow" fieldPosition="0"/>
    </format>
    <format dxfId="68">
      <pivotArea dataOnly="0" labelOnly="1" fieldPosition="0">
        <references count="1">
          <reference field="29" count="0"/>
        </references>
      </pivotArea>
    </format>
    <format dxfId="67">
      <pivotArea dataOnly="0" labelOnly="1" grandRow="1" outline="0" fieldPosition="0"/>
    </format>
    <format dxfId="66">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29"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9" count="1" selected="0">
            <x v="1"/>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29" count="1" selected="0">
            <x v="1"/>
          </reference>
        </references>
      </pivotArea>
    </chartFormat>
    <chartFormat chart="6" format="7">
      <pivotArea type="data" outline="0" fieldPosition="0">
        <references count="2">
          <reference field="4294967294" count="1" selected="0">
            <x v="0"/>
          </reference>
          <reference field="29" count="1" selected="0">
            <x v="0"/>
          </reference>
        </references>
      </pivotArea>
    </chartFormat>
    <chartFormat chart="6" format="8">
      <pivotArea type="data" outline="0" fieldPosition="0">
        <references count="2">
          <reference field="4294967294" count="1" selected="0">
            <x v="0"/>
          </reference>
          <reference field="2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dataField="1" showAll="0">
      <items count="4">
        <item m="1" x="1"/>
        <item x="0"/>
        <item m="1" x="2"/>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18"/>
  </rowFields>
  <rowItems count="2">
    <i>
      <x v="1"/>
    </i>
    <i t="grand">
      <x/>
    </i>
  </rowItems>
  <colItems count="1">
    <i/>
  </colItems>
  <dataFields count="1">
    <dataField name="Count of Lectures" fld="18" subtotal="count" baseField="0" baseItem="0"/>
  </dataFields>
  <formats count="6">
    <format dxfId="77">
      <pivotArea type="all" dataOnly="0" outline="0" fieldPosition="0"/>
    </format>
    <format dxfId="76">
      <pivotArea outline="0" collapsedLevelsAreSubtotals="1" fieldPosition="0"/>
    </format>
    <format dxfId="75">
      <pivotArea field="18" type="button" dataOnly="0" labelOnly="1" outline="0" axis="axisRow" fieldPosition="0"/>
    </format>
    <format dxfId="74">
      <pivotArea dataOnly="0" labelOnly="1" fieldPosition="0">
        <references count="1">
          <reference field="18" count="0"/>
        </references>
      </pivotArea>
    </format>
    <format dxfId="73">
      <pivotArea dataOnly="0" labelOnly="1" grandRow="1" outline="0" fieldPosition="0"/>
    </format>
    <format dxfId="72">
      <pivotArea dataOnly="0" labelOnly="1" outline="0" axis="axisValues" fieldPosition="0"/>
    </format>
  </formats>
  <chartFormats count="11">
    <chartFormat chart="5" format="1" series="1">
      <pivotArea type="data" outline="0" fieldPosition="0">
        <references count="1">
          <reference field="4294967294" count="1" selected="0">
            <x v="0"/>
          </reference>
        </references>
      </pivotArea>
    </chartFormat>
    <chartFormat chart="5" format="2">
      <pivotArea type="data" outline="0" fieldPosition="0">
        <references count="2">
          <reference field="4294967294" count="1" selected="0">
            <x v="0"/>
          </reference>
          <reference field="18" count="1" selected="0">
            <x v="0"/>
          </reference>
        </references>
      </pivotArea>
    </chartFormat>
    <chartFormat chart="5" format="3">
      <pivotArea type="data" outline="0" fieldPosition="0">
        <references count="2">
          <reference field="4294967294" count="1" selected="0">
            <x v="0"/>
          </reference>
          <reference field="18" count="1" selected="0">
            <x v="1"/>
          </reference>
        </references>
      </pivotArea>
    </chartFormat>
    <chartFormat chart="6" format="3" series="1">
      <pivotArea type="data" outline="0" fieldPosition="0">
        <references count="1">
          <reference field="4294967294" count="1" selected="0">
            <x v="0"/>
          </reference>
        </references>
      </pivotArea>
    </chartFormat>
    <chartFormat chart="6" format="4">
      <pivotArea type="data" outline="0" fieldPosition="0">
        <references count="2">
          <reference field="4294967294" count="1" selected="0">
            <x v="0"/>
          </reference>
          <reference field="18" count="1" selected="0">
            <x v="0"/>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18" count="1" selected="0">
            <x v="0"/>
          </reference>
        </references>
      </pivotArea>
    </chartFormat>
    <chartFormat chart="8" format="5" series="1">
      <pivotArea type="data" outline="0" fieldPosition="0">
        <references count="1">
          <reference field="4294967294" count="1" selected="0">
            <x v="0"/>
          </reference>
        </references>
      </pivotArea>
    </chartFormat>
    <chartFormat chart="8" format="6">
      <pivotArea type="data" outline="0" fieldPosition="0">
        <references count="2">
          <reference field="4294967294" count="1" selected="0">
            <x v="0"/>
          </reference>
          <reference field="18" count="1" selected="0">
            <x v="0"/>
          </reference>
        </references>
      </pivotArea>
    </chartFormat>
    <chartFormat chart="8" format="7">
      <pivotArea type="data" outline="0" fieldPosition="0">
        <references count="2">
          <reference field="4294967294" count="1" selected="0">
            <x v="0"/>
          </reference>
          <reference field="18" count="1" selected="0">
            <x v="1"/>
          </reference>
        </references>
      </pivotArea>
    </chartFormat>
    <chartFormat chart="8" format="8">
      <pivotArea type="data" outline="0" fieldPosition="0">
        <references count="2">
          <reference field="4294967294" count="1" selected="0">
            <x v="0"/>
          </reference>
          <reference field="1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9">
        <i x="2" s="1"/>
        <i x="5" s="1"/>
        <i x="0" s="1"/>
        <i x="3" s="1"/>
        <i x="1" s="1"/>
        <i x="4" s="1"/>
        <i x="14" s="1"/>
        <i x="15" s="1"/>
        <i x="13" s="1"/>
        <i x="16" s="1"/>
        <i x="10" s="1"/>
        <i x="17" s="1"/>
        <i x="11" s="1"/>
        <i x="18" s="1"/>
        <i x="12" s="1"/>
        <i x="8" s="1"/>
        <i x="7" s="1"/>
        <i x="9"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E111" totalsRowShown="0" headerRowDxfId="112" dataDxfId="110" headerRowBorderDxfId="111" tableBorderDxfId="109" totalsRowBorderDxfId="108">
  <autoFilter ref="B8:AE111" xr:uid="{861EE33C-73C1-4F33-9192-F531CCE54052}"/>
  <sortState xmlns:xlrd2="http://schemas.microsoft.com/office/spreadsheetml/2017/richdata2" ref="B9:AE111">
    <sortCondition ref="B8:B111"/>
  </sortState>
  <tableColumns count="30">
    <tableColumn id="9" xr3:uid="{1F1DE16E-278E-4EF8-B2BB-8924E21CCBFE}" name="Order of Study" dataDxfId="107"/>
    <tableColumn id="33" xr3:uid="{BBAB2BFB-594B-429D-A8B8-83652595607C}" name="Schedule" dataDxfId="106">
      <calculatedColumnFormula>IF(Master_Data[[#This Row],[Column1]]=0,"",IF(Master_Data[[#This Row],[Column1]]=1,"Current Week",CONCATENATE("Week ",Master_Data[[#This Row],[Column1]])))</calculatedColumnFormula>
    </tableColumn>
    <tableColumn id="32" xr3:uid="{9A94244A-9683-470A-BBD0-A46326317C2C}" name="Column1" dataDxfId="105">
      <calculatedColumnFormula>ROUNDUP(Master_Data[[#This Row],[Column2]]/Working!$C$8,0)</calculatedColumnFormula>
    </tableColumn>
    <tableColumn id="30" xr3:uid="{870EBD19-DC72-4312-B209-C8AADE869148}" name="Column2" dataDxfId="104">
      <calculatedColumnFormula>SUM($F$9:F9)</calculatedColumnFormula>
    </tableColumn>
    <tableColumn id="27" xr3:uid="{2C857C23-47AE-4F9C-AA57-E6F2EC1B8477}" name="undone duration" dataDxfId="103">
      <calculatedColumnFormula>IF(Master_Data[[#This Row],[Lectures]]="D","",Master_Data[[#This Row],[Duration (hh:mm)]])</calculatedColumnFormula>
    </tableColumn>
    <tableColumn id="1" xr3:uid="{00000000-0010-0000-0000-000001000000}" name="Subject" dataDxfId="102"/>
    <tableColumn id="2" xr3:uid="{00000000-0010-0000-0000-000002000000}" name="Reading" dataDxfId="101"/>
    <tableColumn id="24" xr3:uid="{12F2DE11-D6A3-41B2-B62E-C51E27851BC0}" name="Changes" dataDxfId="100"/>
    <tableColumn id="3" xr3:uid="{00000000-0010-0000-0000-000003000000}" name="Topic" dataDxfId="99"/>
    <tableColumn id="13" xr3:uid="{831F4477-25B4-4195-AB9B-0AADBF9D7D3E}" name="No. of LOS" dataDxfId="98"/>
    <tableColumn id="21" xr3:uid="{75701E24-4A87-4E0F-9D5A-73640F8E25C4}" name="Lengthy" dataDxfId="97"/>
    <tableColumn id="20" xr3:uid="{77CA19E4-4B02-44E6-B959-FD5250D705DD}" name="Numerical or Not" dataDxfId="96"/>
    <tableColumn id="19" xr3:uid="{2E72736C-C56E-4D52-B458-A87278BC9CE2}" name="Diff. Level" dataDxfId="95"/>
    <tableColumn id="22" xr3:uid="{BC8C5220-F4FC-4DDB-BF01-412D8FEECE86}" name="Confusing" dataDxfId="94"/>
    <tableColumn id="18" xr3:uid="{2E66286A-5B10-41F1-B2EC-C16040833BBF}" name="Imp. Level" dataDxfId="93"/>
    <tableColumn id="17" xr3:uid="{7EEA9AA8-4E26-4B33-AA7E-0D9AA4589720}" name="Reqd. Prac." dataDxfId="92"/>
    <tableColumn id="16" xr3:uid="{BD71F8AD-1CE1-4DAB-BF8A-6F05372A3D94}" name="Duration (hh:mm)" dataDxfId="91"/>
    <tableColumn id="15" xr3:uid="{14D87CA9-408F-464E-88DB-8BE470862CA1}" name="Cum. (%)" dataDxfId="90">
      <calculatedColumnFormula>(SUM($R$9:R9)/$R$4)*100</calculatedColumnFormula>
    </tableColumn>
    <tableColumn id="4" xr3:uid="{00000000-0010-0000-0000-000004000000}" name="Lectures" dataDxfId="89"/>
    <tableColumn id="5" xr3:uid="{00000000-0010-0000-0000-000005000000}" name="Self Study" dataDxfId="88"/>
    <tableColumn id="6" xr3:uid="{00000000-0010-0000-0000-000006000000}" name="Revision" dataDxfId="87"/>
    <tableColumn id="12" xr3:uid="{00000000-0010-0000-0000-00000C000000}" name="Prac. Book" dataDxfId="86"/>
    <tableColumn id="14" xr3:uid="{AEDD019D-42C9-488A-91CF-CB6B9FD52249}" name="GARP EOC Ques." dataDxfId="85"/>
    <tableColumn id="25" xr3:uid="{960A4FD1-ACCA-4C3B-BB49-555780F1E120}" name="Confidence Level" dataDxfId="84"/>
    <tableColumn id="23" xr3:uid="{4F2FB2AB-1E57-49E4-A36E-C2AE4F7ECC88}" name="Notes to Yourself" dataDxfId="83"/>
    <tableColumn id="26" xr3:uid="{15012E93-27CD-479E-B748-1A0B33E38540}" name="Total weights" dataDxfId="82">
      <calculatedColumnFormula>P9/SUM($P$9:$P$111)</calculatedColumnFormula>
    </tableColumn>
    <tableColumn id="28" xr3:uid="{F75F033E-D2A5-4A49-AC71-603D263F625D}" name="Subjectwise weights" dataDxfId="81">
      <calculatedColumnFormula>Master_Data[[#This Row],[Imp. Level]]/SUMIF(Master_Data[Subject],Master_Data[[#This Row],[Subject]],Master_Data[Imp. Level])</calculatedColumnFormula>
    </tableColumn>
    <tableColumn id="29" xr3:uid="{4DCF2CFD-3233-40BF-995C-319D9E96ABF7}" name="Subjectwise weighted average" dataDxfId="80">
      <calculatedColumnFormula>Master_Data[[#This Row],[Subjectwise weights]]*Master_Data[[#This Row],[Confidence Level]]</calculatedColumnFormula>
    </tableColumn>
    <tableColumn id="31" xr3:uid="{44791B14-8EA4-4997-9F55-0F060C364CAA}" name="Practice" dataDxfId="79">
      <calculatedColumnFormula>Master_Data[[#This Row],[Prac. Book]]</calculatedColumnFormula>
    </tableColumn>
    <tableColumn id="34" xr3:uid="{679C7012-AA95-4E12-BCFA-3A8F0884BA1B}" name="Extra Practice" dataDxfId="78">
      <calculatedColumnFormula>Master_Data[[#This Row],[GARP EOC Ques.]]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0"/>
  <sheetViews>
    <sheetView showGridLines="0" tabSelected="1" zoomScale="90" zoomScaleNormal="90" workbookViewId="0">
      <selection activeCell="F9" sqref="F9"/>
    </sheetView>
  </sheetViews>
  <sheetFormatPr defaultColWidth="8.7109375" defaultRowHeight="14.25"/>
  <cols>
    <col min="1" max="1" width="3.7109375" style="41" customWidth="1"/>
    <col min="2" max="2" width="11.85546875" style="41" customWidth="1"/>
    <col min="3" max="3" width="16" style="41" customWidth="1"/>
    <col min="4" max="4" width="42.5703125" style="41" customWidth="1"/>
    <col min="5" max="5" width="34.42578125" style="41" customWidth="1"/>
    <col min="6" max="6" width="39.5703125" style="41" customWidth="1"/>
    <col min="7" max="16384" width="8.7109375" style="41"/>
  </cols>
  <sheetData>
    <row r="1" spans="2:27" ht="6.75" customHeight="1"/>
    <row r="2" spans="2:27" ht="30" customHeight="1">
      <c r="B2" s="277" t="s">
        <v>154</v>
      </c>
      <c r="C2" s="277"/>
      <c r="D2" s="277"/>
      <c r="E2" s="277"/>
      <c r="F2" s="277"/>
      <c r="G2" s="58"/>
      <c r="H2" s="58"/>
      <c r="I2" s="58"/>
      <c r="J2" s="58"/>
      <c r="K2" s="58"/>
      <c r="L2" s="58"/>
      <c r="M2" s="58"/>
      <c r="N2" s="58"/>
      <c r="O2" s="58"/>
      <c r="P2" s="58"/>
      <c r="Q2" s="58"/>
      <c r="R2" s="58"/>
      <c r="S2" s="58"/>
      <c r="T2" s="58"/>
      <c r="U2" s="58"/>
      <c r="V2" s="58"/>
      <c r="W2" s="58"/>
      <c r="X2" s="58"/>
      <c r="Y2" s="58"/>
      <c r="Z2" s="58"/>
      <c r="AA2" s="58"/>
    </row>
    <row r="3" spans="2:27" ht="9.9499999999999993" customHeight="1"/>
    <row r="4" spans="2:27" s="29" customFormat="1" ht="21.75" customHeight="1">
      <c r="D4" s="59"/>
      <c r="E4" s="274" t="s">
        <v>207</v>
      </c>
      <c r="F4" s="274"/>
      <c r="G4" s="59"/>
      <c r="H4" s="59"/>
      <c r="I4" s="59"/>
      <c r="J4" s="59"/>
      <c r="K4" s="60"/>
      <c r="L4" s="60"/>
      <c r="M4" s="60"/>
      <c r="N4" s="60"/>
      <c r="O4" s="60"/>
      <c r="P4" s="60"/>
      <c r="Q4" s="60"/>
      <c r="R4" s="60"/>
      <c r="S4" s="60"/>
    </row>
    <row r="5" spans="2:27" ht="8.25" customHeight="1"/>
    <row r="6" spans="2:27" ht="18.75">
      <c r="E6" s="70" t="s">
        <v>0</v>
      </c>
      <c r="F6" s="71" t="s">
        <v>157</v>
      </c>
      <c r="I6" s="137"/>
    </row>
    <row r="7" spans="2:27" ht="5.25" customHeight="1">
      <c r="E7" s="61"/>
      <c r="F7" s="156"/>
    </row>
    <row r="8" spans="2:27" ht="19.5" customHeight="1">
      <c r="E8" s="185" t="s">
        <v>2</v>
      </c>
      <c r="F8" s="186">
        <v>45302</v>
      </c>
    </row>
    <row r="9" spans="2:27" ht="19.5" customHeight="1">
      <c r="E9" s="187" t="s">
        <v>1</v>
      </c>
      <c r="F9" s="188">
        <v>45980</v>
      </c>
    </row>
    <row r="11" spans="2:27">
      <c r="B11" s="276"/>
      <c r="C11" s="276"/>
      <c r="D11" s="276"/>
    </row>
    <row r="12" spans="2:27" ht="6.6" customHeight="1">
      <c r="B12" s="146"/>
      <c r="C12" s="146"/>
    </row>
    <row r="13" spans="2:27" s="147" customFormat="1" ht="25.5">
      <c r="B13" s="280" t="s">
        <v>27</v>
      </c>
      <c r="C13" s="280"/>
      <c r="D13" s="281"/>
      <c r="E13" s="281"/>
      <c r="F13" s="148" t="str">
        <f>'📝 Instructions'!E4&amp;" |Aswini Bajaj"</f>
        <v>FRM P-2 |Aswini Bajaj</v>
      </c>
    </row>
    <row r="14" spans="2:27">
      <c r="C14" s="42"/>
    </row>
    <row r="15" spans="2:27" ht="42.6" customHeight="1">
      <c r="B15" s="139"/>
      <c r="C15" s="139"/>
      <c r="D15" s="139"/>
      <c r="E15" s="139"/>
      <c r="F15" s="139"/>
    </row>
    <row r="16" spans="2:27" ht="44.45" customHeight="1">
      <c r="B16" s="52"/>
      <c r="C16" s="52"/>
      <c r="D16" s="52"/>
      <c r="E16" s="52"/>
      <c r="F16" s="52"/>
    </row>
    <row r="17" spans="2:6" ht="25.5">
      <c r="B17" s="53"/>
      <c r="C17" s="54"/>
      <c r="D17" s="53"/>
      <c r="E17" s="53"/>
    </row>
    <row r="18" spans="2:6" ht="18.600000000000001" customHeight="1">
      <c r="B18" s="53"/>
      <c r="C18" s="54"/>
      <c r="D18" s="53"/>
      <c r="E18" s="53"/>
    </row>
    <row r="19" spans="2:6" ht="18.75">
      <c r="B19" s="155" t="s">
        <v>25</v>
      </c>
      <c r="C19" s="155" t="s">
        <v>26</v>
      </c>
      <c r="D19" s="275" t="s">
        <v>27</v>
      </c>
      <c r="E19" s="275"/>
      <c r="F19" s="275"/>
    </row>
    <row r="20" spans="2:6" ht="59.1" customHeight="1">
      <c r="B20" s="140">
        <v>1</v>
      </c>
      <c r="C20" s="141" t="s">
        <v>10</v>
      </c>
      <c r="D20" s="278" t="s">
        <v>156</v>
      </c>
      <c r="E20" s="278"/>
      <c r="F20" s="279"/>
    </row>
    <row r="21" spans="2:6" ht="42" customHeight="1">
      <c r="B21" s="140">
        <v>2</v>
      </c>
      <c r="C21" s="141" t="s">
        <v>135</v>
      </c>
      <c r="D21" s="278" t="s">
        <v>208</v>
      </c>
      <c r="E21" s="278"/>
      <c r="F21" s="279"/>
    </row>
    <row r="22" spans="2:6" ht="42" customHeight="1">
      <c r="B22" s="142">
        <v>3</v>
      </c>
      <c r="C22" s="143" t="s">
        <v>3</v>
      </c>
      <c r="D22" s="278" t="s">
        <v>31</v>
      </c>
      <c r="E22" s="278"/>
      <c r="F22" s="279"/>
    </row>
    <row r="23" spans="2:6" ht="25.5" customHeight="1">
      <c r="B23" s="144">
        <v>4</v>
      </c>
      <c r="C23" s="145" t="s">
        <v>4</v>
      </c>
      <c r="D23" s="278" t="s">
        <v>65</v>
      </c>
      <c r="E23" s="278"/>
      <c r="F23" s="279"/>
    </row>
    <row r="24" spans="2:6" ht="42" customHeight="1">
      <c r="B24" s="142">
        <v>5</v>
      </c>
      <c r="C24" s="143" t="s">
        <v>5</v>
      </c>
      <c r="D24" s="278" t="s">
        <v>78</v>
      </c>
      <c r="E24" s="278"/>
      <c r="F24" s="279"/>
    </row>
    <row r="25" spans="2:6" ht="42" customHeight="1">
      <c r="B25" s="144">
        <v>6</v>
      </c>
      <c r="C25" s="145" t="s">
        <v>64</v>
      </c>
      <c r="D25" s="278" t="s">
        <v>82</v>
      </c>
      <c r="E25" s="278"/>
      <c r="F25" s="279"/>
    </row>
    <row r="26" spans="2:6" ht="29.1" customHeight="1">
      <c r="B26" s="142">
        <v>7</v>
      </c>
      <c r="C26" s="143" t="s">
        <v>86</v>
      </c>
      <c r="D26" s="278" t="s">
        <v>83</v>
      </c>
      <c r="E26" s="278"/>
      <c r="F26" s="279"/>
    </row>
    <row r="27" spans="2:6" ht="42" customHeight="1">
      <c r="B27" s="144">
        <v>8</v>
      </c>
      <c r="C27" s="145" t="s">
        <v>151</v>
      </c>
      <c r="D27" s="278" t="s">
        <v>209</v>
      </c>
      <c r="E27" s="278"/>
      <c r="F27" s="279"/>
    </row>
    <row r="28" spans="2:6" ht="42" customHeight="1">
      <c r="B28" s="142">
        <v>9</v>
      </c>
      <c r="C28" s="143" t="s">
        <v>61</v>
      </c>
      <c r="D28" s="278" t="s">
        <v>77</v>
      </c>
      <c r="E28" s="278"/>
      <c r="F28" s="279"/>
    </row>
    <row r="29" spans="2:6" ht="91.5" customHeight="1">
      <c r="B29" s="144">
        <v>10</v>
      </c>
      <c r="C29" s="145" t="s">
        <v>62</v>
      </c>
      <c r="D29" s="278" t="s">
        <v>79</v>
      </c>
      <c r="E29" s="278"/>
      <c r="F29" s="279"/>
    </row>
    <row r="30" spans="2:6" ht="75.599999999999994" customHeight="1">
      <c r="B30" s="142">
        <v>11</v>
      </c>
      <c r="C30" s="143" t="s">
        <v>152</v>
      </c>
      <c r="D30" s="278" t="s">
        <v>76</v>
      </c>
      <c r="E30" s="278"/>
      <c r="F30" s="279"/>
    </row>
    <row r="31" spans="2:6" ht="194.25" customHeight="1">
      <c r="B31" s="144">
        <v>12</v>
      </c>
      <c r="C31" s="145" t="s">
        <v>63</v>
      </c>
      <c r="D31" s="278" t="s">
        <v>210</v>
      </c>
      <c r="E31" s="278"/>
      <c r="F31" s="279"/>
    </row>
    <row r="32" spans="2:6" ht="72.95" customHeight="1">
      <c r="B32" s="142">
        <v>13</v>
      </c>
      <c r="C32" s="143" t="s">
        <v>28</v>
      </c>
      <c r="D32" s="278" t="s">
        <v>80</v>
      </c>
      <c r="E32" s="278"/>
      <c r="F32" s="279"/>
    </row>
    <row r="33" spans="2:6" ht="42" customHeight="1">
      <c r="B33" s="144">
        <v>14</v>
      </c>
      <c r="C33" s="145" t="s">
        <v>24</v>
      </c>
      <c r="D33" s="278" t="s">
        <v>211</v>
      </c>
      <c r="E33" s="278"/>
      <c r="F33" s="279"/>
    </row>
    <row r="34" spans="2:6" ht="58.5" customHeight="1">
      <c r="B34" s="142">
        <v>15</v>
      </c>
      <c r="C34" s="143" t="s">
        <v>21</v>
      </c>
      <c r="D34" s="278" t="s">
        <v>212</v>
      </c>
      <c r="E34" s="278"/>
      <c r="F34" s="279"/>
    </row>
    <row r="35" spans="2:6" ht="56.45" customHeight="1">
      <c r="B35" s="144">
        <v>16</v>
      </c>
      <c r="C35" s="145" t="s">
        <v>22</v>
      </c>
      <c r="D35" s="278" t="s">
        <v>32</v>
      </c>
      <c r="E35" s="278"/>
      <c r="F35" s="279"/>
    </row>
    <row r="36" spans="2:6" ht="58.5" customHeight="1">
      <c r="B36" s="142">
        <v>17</v>
      </c>
      <c r="C36" s="143" t="s">
        <v>213</v>
      </c>
      <c r="D36" s="278" t="s">
        <v>214</v>
      </c>
      <c r="E36" s="278"/>
      <c r="F36" s="279"/>
    </row>
    <row r="37" spans="2:6" ht="54" customHeight="1">
      <c r="B37" s="144">
        <v>18</v>
      </c>
      <c r="C37" s="143" t="s">
        <v>215</v>
      </c>
      <c r="D37" s="278" t="s">
        <v>216</v>
      </c>
      <c r="E37" s="278"/>
      <c r="F37" s="279"/>
    </row>
    <row r="38" spans="2:6" ht="42" customHeight="1">
      <c r="B38" s="142">
        <v>19</v>
      </c>
      <c r="C38" s="143" t="s">
        <v>23</v>
      </c>
      <c r="D38" s="278" t="s">
        <v>33</v>
      </c>
      <c r="E38" s="278"/>
      <c r="F38" s="279"/>
    </row>
    <row r="39" spans="2:6" ht="42" customHeight="1">
      <c r="B39" s="144">
        <v>20</v>
      </c>
      <c r="C39" s="145" t="s">
        <v>98</v>
      </c>
      <c r="D39" s="278" t="s">
        <v>150</v>
      </c>
      <c r="E39" s="278"/>
      <c r="F39" s="279"/>
    </row>
    <row r="40" spans="2:6" ht="50.45" customHeight="1">
      <c r="B40" s="142">
        <v>21</v>
      </c>
      <c r="C40" s="143" t="s">
        <v>84</v>
      </c>
      <c r="D40" s="278" t="s">
        <v>153</v>
      </c>
      <c r="E40" s="278"/>
      <c r="F40" s="279"/>
    </row>
  </sheetData>
  <sheetProtection algorithmName="SHA-512" hashValue="7kyAoMB71yGepEN32vIy4yTSheWcLOJ1Rqo4w8mMAFWmBHp77/7DWYPCuPC05Tg0XTYSPoc0TEEsGGqkOdwPhw==" saltValue="hmc0yyb+S1Tvxbpb+RnDZQ==" spinCount="100000" sheet="1" selectLockedCells="1"/>
  <mergeCells count="27">
    <mergeCell ref="D24:F24"/>
    <mergeCell ref="D32:F32"/>
    <mergeCell ref="D33:F33"/>
    <mergeCell ref="D34:F34"/>
    <mergeCell ref="D35:F35"/>
    <mergeCell ref="D30:F30"/>
    <mergeCell ref="D31:F31"/>
    <mergeCell ref="D29:F29"/>
    <mergeCell ref="D28:F28"/>
    <mergeCell ref="D27:F27"/>
    <mergeCell ref="D25:F25"/>
    <mergeCell ref="D26:F26"/>
    <mergeCell ref="D36:F36"/>
    <mergeCell ref="D37:F37"/>
    <mergeCell ref="D38:F38"/>
    <mergeCell ref="D39:F39"/>
    <mergeCell ref="D40:F40"/>
    <mergeCell ref="D23:F23"/>
    <mergeCell ref="B13:C13"/>
    <mergeCell ref="D21:F21"/>
    <mergeCell ref="D13:E13"/>
    <mergeCell ref="D20:F20"/>
    <mergeCell ref="E4:F4"/>
    <mergeCell ref="D19:F19"/>
    <mergeCell ref="B11:D11"/>
    <mergeCell ref="B2:F2"/>
    <mergeCell ref="D22:F22"/>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N111"/>
  <sheetViews>
    <sheetView showGridLines="0" zoomScale="90" zoomScaleNormal="90" workbookViewId="0">
      <selection activeCell="T9" sqref="T9"/>
    </sheetView>
  </sheetViews>
  <sheetFormatPr defaultColWidth="8.85546875" defaultRowHeight="14.25"/>
  <cols>
    <col min="1" max="1" width="0.5703125" style="41" customWidth="1"/>
    <col min="2" max="2" width="6.42578125" style="41" customWidth="1"/>
    <col min="3" max="3" width="9.5703125" style="42" customWidth="1"/>
    <col min="4" max="4" width="10.85546875" style="41" hidden="1" customWidth="1"/>
    <col min="5" max="5" width="8" style="41" hidden="1" customWidth="1"/>
    <col min="6" max="6" width="9.28515625" style="41" hidden="1" customWidth="1"/>
    <col min="7" max="7" width="18.85546875" style="42" customWidth="1"/>
    <col min="8" max="8" width="8.85546875" style="41" customWidth="1"/>
    <col min="9" max="9" width="4.7109375" style="41" hidden="1" customWidth="1"/>
    <col min="10" max="10" width="32.42578125" style="42" customWidth="1"/>
    <col min="11" max="11" width="6.140625" style="62" customWidth="1"/>
    <col min="12" max="17" width="8.7109375" style="62" customWidth="1"/>
    <col min="18" max="18" width="9.85546875" style="41" customWidth="1"/>
    <col min="19" max="19" width="8.140625" style="41" bestFit="1" customWidth="1"/>
    <col min="20" max="20" width="8.7109375" style="41" customWidth="1"/>
    <col min="21" max="21" width="6.85546875" style="41" bestFit="1" customWidth="1"/>
    <col min="22" max="22" width="8.5703125" style="41" customWidth="1"/>
    <col min="23" max="23" width="6" style="41" customWidth="1"/>
    <col min="24" max="24" width="10.28515625" style="41" customWidth="1"/>
    <col min="25" max="25" width="7.7109375" style="41" customWidth="1"/>
    <col min="26" max="26" width="40" style="41" customWidth="1"/>
    <col min="27" max="28" width="8.85546875" style="41" hidden="1" customWidth="1"/>
    <col min="29" max="29" width="11.42578125" style="41" hidden="1" customWidth="1"/>
    <col min="30" max="31" width="8.85546875" style="41" hidden="1" customWidth="1"/>
    <col min="32" max="16384" width="8.85546875" style="41"/>
  </cols>
  <sheetData>
    <row r="2" spans="1:31" ht="30" customHeight="1">
      <c r="A2" s="64"/>
      <c r="B2" s="76" t="s">
        <v>43</v>
      </c>
      <c r="C2" s="179"/>
      <c r="D2" s="72"/>
      <c r="E2" s="72"/>
      <c r="F2" s="72"/>
      <c r="G2" s="72"/>
      <c r="H2" s="73"/>
      <c r="I2" s="73"/>
      <c r="J2" s="73"/>
      <c r="K2" s="73"/>
      <c r="L2" s="73"/>
      <c r="M2" s="73"/>
      <c r="N2" s="73"/>
      <c r="O2" s="73"/>
      <c r="P2" s="73"/>
      <c r="Q2" s="73"/>
      <c r="R2" s="73"/>
      <c r="S2" s="73"/>
      <c r="T2" s="73"/>
      <c r="U2" s="73"/>
      <c r="V2" s="73"/>
      <c r="W2" s="74"/>
      <c r="X2" s="74"/>
      <c r="Y2" s="74" t="str">
        <f>'📝 Instructions'!E4&amp;" |Aswini Bajaj"</f>
        <v>FRM P-2 |Aswini Bajaj</v>
      </c>
    </row>
    <row r="3" spans="1:31" ht="11.25" customHeight="1">
      <c r="B3" s="63"/>
      <c r="C3" s="180"/>
      <c r="D3" s="63"/>
      <c r="E3" s="63"/>
      <c r="F3" s="63"/>
      <c r="G3" s="63"/>
      <c r="H3" s="63"/>
      <c r="I3" s="63"/>
    </row>
    <row r="4" spans="1:31" ht="20.100000000000001" customHeight="1">
      <c r="B4" s="282" t="s">
        <v>94</v>
      </c>
      <c r="C4" s="282"/>
      <c r="D4" s="282"/>
      <c r="E4" s="282"/>
      <c r="F4" s="282"/>
      <c r="G4" s="282"/>
      <c r="H4" s="282"/>
      <c r="I4" s="282"/>
      <c r="J4" s="282"/>
      <c r="K4" s="282"/>
      <c r="L4" s="282"/>
      <c r="M4" s="282"/>
      <c r="N4" s="282"/>
      <c r="O4" s="282"/>
      <c r="P4" s="283" t="s">
        <v>7</v>
      </c>
      <c r="Q4" s="284"/>
      <c r="R4" s="46">
        <f>SUM(Master_Data[Duration (hh:mm)])</f>
        <v>7.9331481481481507</v>
      </c>
      <c r="S4" s="47">
        <v>1</v>
      </c>
      <c r="T4" s="48">
        <f>COUNTA(Master_Data[Lectures])</f>
        <v>103</v>
      </c>
      <c r="U4" s="48">
        <f>COUNTA(Master_Data[Self Study])</f>
        <v>103</v>
      </c>
      <c r="V4" s="48">
        <f>COUNTA(Master_Data[Revision])</f>
        <v>103</v>
      </c>
      <c r="W4" s="48">
        <f>COUNTA(Master_Data[Prac. Book])</f>
        <v>103</v>
      </c>
      <c r="X4" s="48">
        <f>COUNTA(Master_Data[GARP EOC Ques.])</f>
        <v>103</v>
      </c>
      <c r="Y4" s="48">
        <v>5</v>
      </c>
      <c r="AA4" s="69"/>
    </row>
    <row r="5" spans="1:31" ht="20.100000000000001" customHeight="1">
      <c r="B5" s="282"/>
      <c r="C5" s="282"/>
      <c r="D5" s="282"/>
      <c r="E5" s="282"/>
      <c r="F5" s="282"/>
      <c r="G5" s="282"/>
      <c r="H5" s="282"/>
      <c r="I5" s="282"/>
      <c r="J5" s="282"/>
      <c r="K5" s="282"/>
      <c r="L5" s="282"/>
      <c r="M5" s="282"/>
      <c r="N5" s="282"/>
      <c r="O5" s="282"/>
      <c r="P5" s="283" t="s">
        <v>30</v>
      </c>
      <c r="Q5" s="284"/>
      <c r="R5" s="46">
        <f>SUMIF(Master_Data[Lectures],"d",Master_Data[Duration (hh:mm)])</f>
        <v>0</v>
      </c>
      <c r="S5" s="47">
        <f>R5/R4</f>
        <v>0</v>
      </c>
      <c r="T5" s="49">
        <f>COUNTIF(Master_Data[Lectures],"d")</f>
        <v>0</v>
      </c>
      <c r="U5" s="49">
        <f>COUNTIF(Master_Data[Self Study],"d")</f>
        <v>0</v>
      </c>
      <c r="V5" s="49">
        <f>COUNTIF(Master_Data[Revision],"d")</f>
        <v>0</v>
      </c>
      <c r="W5" s="49">
        <f>COUNTIF(Master_Data[Prac. Book],"d")</f>
        <v>0</v>
      </c>
      <c r="X5" s="49">
        <f>COUNTIF(Master_Data[GARP EOC Ques.],"d")</f>
        <v>0</v>
      </c>
      <c r="Y5" s="49">
        <f>SUMPRODUCT(Master_Data[Confidence Level],Master_Data[Total weights])</f>
        <v>3.0734875619449462</v>
      </c>
      <c r="AA5" s="69"/>
    </row>
    <row r="6" spans="1:31" ht="20.100000000000001" customHeight="1">
      <c r="B6" s="65"/>
      <c r="C6" s="181"/>
      <c r="D6" s="65"/>
      <c r="E6" s="65"/>
      <c r="F6" s="65"/>
      <c r="G6" s="65"/>
      <c r="H6" s="65"/>
      <c r="I6" s="63"/>
      <c r="J6" s="66" t="s">
        <v>85</v>
      </c>
      <c r="K6" s="67">
        <f>AVERAGE(Master_Data[No. of LOS])</f>
        <v>5.7475728155339807</v>
      </c>
      <c r="L6" s="67">
        <f>AVERAGE(Master_Data[Lengthy])</f>
        <v>2.8446601941747574</v>
      </c>
      <c r="M6" s="67">
        <f>AVERAGE(Master_Data[Numerical or Not])</f>
        <v>1.825242718446602</v>
      </c>
      <c r="N6" s="67">
        <f>AVERAGE(Master_Data[Diff. Level])</f>
        <v>3.0679611650485437</v>
      </c>
      <c r="O6" s="67">
        <f>AVERAGE(Master_Data[Confusing])</f>
        <v>3.2815533980582523</v>
      </c>
      <c r="P6" s="67">
        <f>AVERAGE(Master_Data[Imp. Level])</f>
        <v>3.4563106796116503</v>
      </c>
      <c r="Q6" s="67">
        <f>AVERAGE(Master_Data[Reqd. Prac.])</f>
        <v>3.1553398058252426</v>
      </c>
      <c r="R6" s="68">
        <f>AVERAGE(Master_Data[Duration (hh:mm)])</f>
        <v>7.7020855807263602E-2</v>
      </c>
      <c r="U6" s="55"/>
    </row>
    <row r="7" spans="1:31" ht="20.100000000000001" customHeight="1">
      <c r="B7" s="10">
        <v>1</v>
      </c>
      <c r="C7" s="10">
        <v>2</v>
      </c>
      <c r="D7" s="10"/>
      <c r="E7" s="10"/>
      <c r="F7" s="10"/>
      <c r="G7" s="10">
        <v>3</v>
      </c>
      <c r="H7" s="10">
        <v>4</v>
      </c>
      <c r="I7" s="10"/>
      <c r="J7" s="10">
        <v>5</v>
      </c>
      <c r="K7" s="10">
        <v>6</v>
      </c>
      <c r="L7" s="10">
        <v>7</v>
      </c>
      <c r="M7" s="10">
        <v>8</v>
      </c>
      <c r="N7" s="10">
        <v>9</v>
      </c>
      <c r="O7" s="10">
        <v>10</v>
      </c>
      <c r="P7" s="10">
        <v>11</v>
      </c>
      <c r="Q7" s="10">
        <v>12</v>
      </c>
      <c r="R7" s="10">
        <v>13</v>
      </c>
      <c r="S7" s="10">
        <v>14</v>
      </c>
      <c r="T7" s="10">
        <v>15</v>
      </c>
      <c r="U7" s="10">
        <v>16</v>
      </c>
      <c r="V7" s="10">
        <v>17</v>
      </c>
      <c r="W7" s="10">
        <v>18</v>
      </c>
      <c r="X7" s="10">
        <v>19</v>
      </c>
      <c r="Y7" s="10">
        <v>20</v>
      </c>
      <c r="Z7" s="10">
        <v>21</v>
      </c>
      <c r="AA7" s="1"/>
      <c r="AB7" s="1"/>
      <c r="AC7" s="1"/>
    </row>
    <row r="8" spans="1:31" s="29" customFormat="1" ht="63">
      <c r="B8" s="75" t="s">
        <v>10</v>
      </c>
      <c r="C8" s="75" t="s">
        <v>135</v>
      </c>
      <c r="D8" s="75" t="s">
        <v>119</v>
      </c>
      <c r="E8" s="75" t="s">
        <v>116</v>
      </c>
      <c r="F8" s="75" t="s">
        <v>117</v>
      </c>
      <c r="G8" s="75" t="s">
        <v>3</v>
      </c>
      <c r="H8" s="75" t="s">
        <v>4</v>
      </c>
      <c r="I8" s="8" t="s">
        <v>95</v>
      </c>
      <c r="J8" s="8" t="s">
        <v>5</v>
      </c>
      <c r="K8" s="8" t="s">
        <v>64</v>
      </c>
      <c r="L8" s="8" t="s">
        <v>86</v>
      </c>
      <c r="M8" s="8" t="s">
        <v>87</v>
      </c>
      <c r="N8" s="8" t="s">
        <v>88</v>
      </c>
      <c r="O8" s="8" t="s">
        <v>62</v>
      </c>
      <c r="P8" s="8" t="s">
        <v>89</v>
      </c>
      <c r="Q8" s="8" t="s">
        <v>90</v>
      </c>
      <c r="R8" s="8" t="s">
        <v>28</v>
      </c>
      <c r="S8" s="8" t="s">
        <v>91</v>
      </c>
      <c r="T8" s="8" t="s">
        <v>21</v>
      </c>
      <c r="U8" s="8" t="s">
        <v>22</v>
      </c>
      <c r="V8" s="8" t="s">
        <v>23</v>
      </c>
      <c r="W8" s="8" t="s">
        <v>92</v>
      </c>
      <c r="X8" s="8" t="s">
        <v>206</v>
      </c>
      <c r="Y8" s="8" t="s">
        <v>98</v>
      </c>
      <c r="Z8" s="8" t="s">
        <v>84</v>
      </c>
      <c r="AA8" s="8" t="s">
        <v>101</v>
      </c>
      <c r="AB8" s="8" t="s">
        <v>102</v>
      </c>
      <c r="AC8" s="8" t="s">
        <v>103</v>
      </c>
      <c r="AD8" s="8" t="s">
        <v>17</v>
      </c>
      <c r="AE8" s="8" t="s">
        <v>99</v>
      </c>
    </row>
    <row r="9" spans="1:31" ht="27" customHeight="1">
      <c r="B9" s="3">
        <v>1</v>
      </c>
      <c r="C9" s="182" t="str">
        <f ca="1">IF(Master_Data[[#This Row],[Column1]]=0,"",IF(Master_Data[[#This Row],[Column1]]=1,"Current Week",CONCATENATE("Week ",Master_Data[[#This Row],[Column1]])))</f>
        <v>Current Week</v>
      </c>
      <c r="D9" s="3">
        <f ca="1">ROUNDUP(Master_Data[[#This Row],[Column2]]/Working!$C$8,0)</f>
        <v>1</v>
      </c>
      <c r="E9" s="15">
        <f>SUM($F$9:F9)</f>
        <v>6.2037037037037036E-2</v>
      </c>
      <c r="F9" s="27">
        <f>IF(Master_Data[[#This Row],[Lectures]]="D","",Master_Data[[#This Row],[Duration (hh:mm)]])</f>
        <v>6.2037037037037036E-2</v>
      </c>
      <c r="G9" s="2" t="s">
        <v>227</v>
      </c>
      <c r="H9" s="2">
        <v>83</v>
      </c>
      <c r="I9" s="2" t="s">
        <v>96</v>
      </c>
      <c r="J9" s="45" t="s">
        <v>158</v>
      </c>
      <c r="K9" s="16">
        <v>6</v>
      </c>
      <c r="L9" s="44">
        <v>3</v>
      </c>
      <c r="M9" s="44">
        <v>3</v>
      </c>
      <c r="N9" s="44">
        <v>3</v>
      </c>
      <c r="O9" s="44">
        <v>4</v>
      </c>
      <c r="P9" s="44">
        <v>4</v>
      </c>
      <c r="Q9" s="44">
        <v>3</v>
      </c>
      <c r="R9" s="13">
        <v>6.2037037037037036E-2</v>
      </c>
      <c r="S9" s="43">
        <f>(SUM($R$9:R9)/$R$4)*100</f>
        <v>0.78199771236490079</v>
      </c>
      <c r="T9" s="28" t="s">
        <v>6</v>
      </c>
      <c r="U9" s="28" t="s">
        <v>6</v>
      </c>
      <c r="V9" s="28" t="s">
        <v>6</v>
      </c>
      <c r="W9" s="28" t="s">
        <v>6</v>
      </c>
      <c r="X9" s="28" t="s">
        <v>6</v>
      </c>
      <c r="Y9" s="158">
        <v>2</v>
      </c>
      <c r="Z9" s="18"/>
      <c r="AA9" s="173">
        <f t="shared" ref="AA9:AA15" si="0">P9/SUM($P$9:$P$111)</f>
        <v>1.1235955056179775E-2</v>
      </c>
      <c r="AB9" s="174">
        <f>Master_Data[[#This Row],[Imp. Level]]/SUMIF(Master_Data[Subject],Master_Data[[#This Row],[Subject]],Master_Data[Imp. Level])</f>
        <v>0.10256410256410256</v>
      </c>
      <c r="AC9" s="157">
        <f>Master_Data[[#This Row],[Subjectwise weights]]*Master_Data[[#This Row],[Confidence Level]]</f>
        <v>0.20512820512820512</v>
      </c>
      <c r="AD9" s="273" t="str">
        <f>Master_Data[[#This Row],[Prac. Book]]</f>
        <v>U</v>
      </c>
      <c r="AE9" s="273" t="str">
        <f>Master_Data[[#This Row],[GARP EOC Ques.]]</f>
        <v>U</v>
      </c>
    </row>
    <row r="10" spans="1:31" ht="27" customHeight="1">
      <c r="B10" s="3">
        <v>2</v>
      </c>
      <c r="C10" s="182" t="str">
        <f ca="1">IF(Master_Data[[#This Row],[Column1]]=0,"",IF(Master_Data[[#This Row],[Column1]]=1,"Current Week",CONCATENATE("Week ",Master_Data[[#This Row],[Column1]])))</f>
        <v>Current Week</v>
      </c>
      <c r="D10" s="3">
        <f ca="1">ROUNDUP(Master_Data[[#This Row],[Column2]]/Working!$C$8,0)</f>
        <v>1</v>
      </c>
      <c r="E10" s="15">
        <f>SUM($F$9:F10)</f>
        <v>0.14081018518518518</v>
      </c>
      <c r="F10" s="27">
        <f>IF(Master_Data[[#This Row],[Lectures]]="D","",Master_Data[[#This Row],[Duration (hh:mm)]])</f>
        <v>7.8773148148148148E-2</v>
      </c>
      <c r="G10" s="2" t="s">
        <v>227</v>
      </c>
      <c r="H10" s="2">
        <v>84</v>
      </c>
      <c r="I10" s="2" t="s">
        <v>96</v>
      </c>
      <c r="J10" s="45" t="s">
        <v>159</v>
      </c>
      <c r="K10" s="16">
        <v>5</v>
      </c>
      <c r="L10" s="44">
        <v>3</v>
      </c>
      <c r="M10" s="44">
        <v>1</v>
      </c>
      <c r="N10" s="44">
        <v>3</v>
      </c>
      <c r="O10" s="44">
        <v>4</v>
      </c>
      <c r="P10" s="44">
        <v>4</v>
      </c>
      <c r="Q10" s="44">
        <v>3</v>
      </c>
      <c r="R10" s="12">
        <v>7.8773148148148148E-2</v>
      </c>
      <c r="S10" s="43">
        <f>(SUM($R$9:R10)/$R$4)*100</f>
        <v>1.7749597329536164</v>
      </c>
      <c r="T10" s="28" t="s">
        <v>6</v>
      </c>
      <c r="U10" s="28" t="s">
        <v>6</v>
      </c>
      <c r="V10" s="28" t="s">
        <v>6</v>
      </c>
      <c r="W10" s="28" t="s">
        <v>6</v>
      </c>
      <c r="X10" s="28" t="s">
        <v>6</v>
      </c>
      <c r="Y10" s="158">
        <v>2</v>
      </c>
      <c r="Z10" s="17"/>
      <c r="AA10" s="173">
        <f t="shared" si="0"/>
        <v>1.1235955056179775E-2</v>
      </c>
      <c r="AB10" s="174">
        <f>Master_Data[[#This Row],[Imp. Level]]/SUMIF(Master_Data[Subject],Master_Data[[#This Row],[Subject]],Master_Data[Imp. Level])</f>
        <v>0.10256410256410256</v>
      </c>
      <c r="AC10" s="157">
        <f>Master_Data[[#This Row],[Subjectwise weights]]*Master_Data[[#This Row],[Confidence Level]]</f>
        <v>0.20512820512820512</v>
      </c>
      <c r="AD10" s="273" t="str">
        <f>Master_Data[[#This Row],[Prac. Book]]</f>
        <v>U</v>
      </c>
      <c r="AE10" s="273" t="str">
        <f>Master_Data[[#This Row],[GARP EOC Ques.]]</f>
        <v>U</v>
      </c>
    </row>
    <row r="11" spans="1:31" ht="27" customHeight="1">
      <c r="B11" s="3">
        <v>3</v>
      </c>
      <c r="C11" s="182" t="str">
        <f ca="1">IF(Master_Data[[#This Row],[Column1]]=0,"",IF(Master_Data[[#This Row],[Column1]]=1,"Current Week",CONCATENATE("Week ",Master_Data[[#This Row],[Column1]])))</f>
        <v>Week 2</v>
      </c>
      <c r="D11" s="3">
        <f ca="1">ROUNDUP(Master_Data[[#This Row],[Column2]]/Working!$C$8,0)</f>
        <v>2</v>
      </c>
      <c r="E11" s="15">
        <f>SUM($F$9:F11)</f>
        <v>0.21162037037037035</v>
      </c>
      <c r="F11" s="27">
        <f>IF(Master_Data[[#This Row],[Lectures]]="D","",Master_Data[[#This Row],[Duration (hh:mm)]])</f>
        <v>7.0810185185185184E-2</v>
      </c>
      <c r="G11" s="2" t="s">
        <v>227</v>
      </c>
      <c r="H11" s="2">
        <v>85</v>
      </c>
      <c r="I11" s="2" t="s">
        <v>96</v>
      </c>
      <c r="J11" s="45" t="s">
        <v>228</v>
      </c>
      <c r="K11" s="16">
        <v>9</v>
      </c>
      <c r="L11" s="44">
        <v>3</v>
      </c>
      <c r="M11" s="44">
        <v>3</v>
      </c>
      <c r="N11" s="44">
        <v>3</v>
      </c>
      <c r="O11" s="44">
        <v>4</v>
      </c>
      <c r="P11" s="44">
        <v>4</v>
      </c>
      <c r="Q11" s="44">
        <v>3</v>
      </c>
      <c r="R11" s="13">
        <v>7.0810185185185184E-2</v>
      </c>
      <c r="S11" s="43">
        <f>(SUM($R$9:R11)/$R$4)*100</f>
        <v>2.6675459277760907</v>
      </c>
      <c r="T11" s="28" t="s">
        <v>6</v>
      </c>
      <c r="U11" s="28" t="s">
        <v>6</v>
      </c>
      <c r="V11" s="28" t="s">
        <v>6</v>
      </c>
      <c r="W11" s="28" t="s">
        <v>6</v>
      </c>
      <c r="X11" s="28" t="s">
        <v>6</v>
      </c>
      <c r="Y11" s="158">
        <v>2</v>
      </c>
      <c r="Z11" s="17"/>
      <c r="AA11" s="173">
        <f t="shared" si="0"/>
        <v>1.1235955056179775E-2</v>
      </c>
      <c r="AB11" s="174">
        <f>Master_Data[[#This Row],[Imp. Level]]/SUMIF(Master_Data[Subject],Master_Data[[#This Row],[Subject]],Master_Data[Imp. Level])</f>
        <v>0.10256410256410256</v>
      </c>
      <c r="AC11" s="157">
        <f>Master_Data[[#This Row],[Subjectwise weights]]*Master_Data[[#This Row],[Confidence Level]]</f>
        <v>0.20512820512820512</v>
      </c>
      <c r="AD11" s="273" t="str">
        <f>Master_Data[[#This Row],[Prac. Book]]</f>
        <v>U</v>
      </c>
      <c r="AE11" s="273" t="str">
        <f>Master_Data[[#This Row],[GARP EOC Ques.]]</f>
        <v>U</v>
      </c>
    </row>
    <row r="12" spans="1:31" ht="27" customHeight="1">
      <c r="B12" s="3">
        <v>4</v>
      </c>
      <c r="C12" s="182" t="str">
        <f ca="1">IF(Master_Data[[#This Row],[Column1]]=0,"",IF(Master_Data[[#This Row],[Column1]]=1,"Current Week",CONCATENATE("Week ",Master_Data[[#This Row],[Column1]])))</f>
        <v>Week 2</v>
      </c>
      <c r="D12" s="3">
        <f ca="1">ROUNDUP(Master_Data[[#This Row],[Column2]]/Working!$C$8,0)</f>
        <v>2</v>
      </c>
      <c r="E12" s="15">
        <f>SUM($F$9:F12)</f>
        <v>0.28901620370370368</v>
      </c>
      <c r="F12" s="27">
        <f>IF(Master_Data[[#This Row],[Lectures]]="D","",Master_Data[[#This Row],[Duration (hh:mm)]])</f>
        <v>7.739583333333333E-2</v>
      </c>
      <c r="G12" s="2" t="s">
        <v>160</v>
      </c>
      <c r="H12" s="2">
        <v>1</v>
      </c>
      <c r="I12" s="2" t="s">
        <v>96</v>
      </c>
      <c r="J12" s="45" t="s">
        <v>229</v>
      </c>
      <c r="K12" s="16">
        <v>6</v>
      </c>
      <c r="L12" s="44">
        <v>4</v>
      </c>
      <c r="M12" s="44">
        <v>4</v>
      </c>
      <c r="N12" s="44">
        <v>4</v>
      </c>
      <c r="O12" s="44">
        <v>4</v>
      </c>
      <c r="P12" s="44">
        <v>4</v>
      </c>
      <c r="Q12" s="44">
        <v>4</v>
      </c>
      <c r="R12" s="11">
        <v>7.739583333333333E-2</v>
      </c>
      <c r="S12" s="43">
        <f>(SUM($R$9:R12)/$R$4)*100</f>
        <v>3.6431464319895404</v>
      </c>
      <c r="T12" s="28" t="s">
        <v>6</v>
      </c>
      <c r="U12" s="28" t="s">
        <v>6</v>
      </c>
      <c r="V12" s="28" t="s">
        <v>6</v>
      </c>
      <c r="W12" s="28" t="s">
        <v>6</v>
      </c>
      <c r="X12" s="28" t="s">
        <v>6</v>
      </c>
      <c r="Y12" s="158">
        <v>2</v>
      </c>
      <c r="Z12" s="17"/>
      <c r="AA12" s="173">
        <f t="shared" si="0"/>
        <v>1.1235955056179775E-2</v>
      </c>
      <c r="AB12" s="174">
        <f>Master_Data[[#This Row],[Imp. Level]]/SUMIF(Master_Data[Subject],Master_Data[[#This Row],[Subject]],Master_Data[Imp. Level])</f>
        <v>6.7796610169491525E-2</v>
      </c>
      <c r="AC12" s="157">
        <f>Master_Data[[#This Row],[Subjectwise weights]]*Master_Data[[#This Row],[Confidence Level]]</f>
        <v>0.13559322033898305</v>
      </c>
      <c r="AD12" s="273" t="str">
        <f>Master_Data[[#This Row],[Prac. Book]]</f>
        <v>U</v>
      </c>
      <c r="AE12" s="273" t="str">
        <f>Master_Data[[#This Row],[GARP EOC Ques.]]</f>
        <v>U</v>
      </c>
    </row>
    <row r="13" spans="1:31" ht="27" customHeight="1">
      <c r="B13" s="3">
        <v>5</v>
      </c>
      <c r="C13" s="182" t="str">
        <f ca="1">IF(Master_Data[[#This Row],[Column1]]=0,"",IF(Master_Data[[#This Row],[Column1]]=1,"Current Week",CONCATENATE("Week ",Master_Data[[#This Row],[Column1]])))</f>
        <v>Week 3</v>
      </c>
      <c r="D13" s="3">
        <f ca="1">ROUNDUP(Master_Data[[#This Row],[Column2]]/Working!$C$8,0)</f>
        <v>3</v>
      </c>
      <c r="E13" s="15">
        <f>SUM($F$9:F13)</f>
        <v>0.35091435185185182</v>
      </c>
      <c r="F13" s="27">
        <f>IF(Master_Data[[#This Row],[Lectures]]="D","",Master_Data[[#This Row],[Duration (hh:mm)]])</f>
        <v>6.1898148148148147E-2</v>
      </c>
      <c r="G13" s="2" t="s">
        <v>160</v>
      </c>
      <c r="H13" s="2">
        <v>2</v>
      </c>
      <c r="I13" s="2" t="s">
        <v>96</v>
      </c>
      <c r="J13" s="45" t="s">
        <v>230</v>
      </c>
      <c r="K13" s="16">
        <v>4</v>
      </c>
      <c r="L13" s="44">
        <v>3</v>
      </c>
      <c r="M13" s="44">
        <v>3</v>
      </c>
      <c r="N13" s="44">
        <v>4</v>
      </c>
      <c r="O13" s="44">
        <v>4</v>
      </c>
      <c r="P13" s="44">
        <v>4</v>
      </c>
      <c r="Q13" s="44">
        <v>3</v>
      </c>
      <c r="R13" s="13">
        <v>6.1898148148148147E-2</v>
      </c>
      <c r="S13" s="43">
        <f>(SUM($R$9:R13)/$R$4)*100</f>
        <v>4.4233934032073563</v>
      </c>
      <c r="T13" s="28" t="s">
        <v>6</v>
      </c>
      <c r="U13" s="28" t="s">
        <v>6</v>
      </c>
      <c r="V13" s="28" t="s">
        <v>6</v>
      </c>
      <c r="W13" s="28" t="s">
        <v>6</v>
      </c>
      <c r="X13" s="28" t="s">
        <v>6</v>
      </c>
      <c r="Y13" s="158">
        <v>2</v>
      </c>
      <c r="Z13" s="17"/>
      <c r="AA13" s="173">
        <f t="shared" si="0"/>
        <v>1.1235955056179775E-2</v>
      </c>
      <c r="AB13" s="174">
        <f>Master_Data[[#This Row],[Imp. Level]]/SUMIF(Master_Data[Subject],Master_Data[[#This Row],[Subject]],Master_Data[Imp. Level])</f>
        <v>6.7796610169491525E-2</v>
      </c>
      <c r="AC13" s="157">
        <f>Master_Data[[#This Row],[Subjectwise weights]]*Master_Data[[#This Row],[Confidence Level]]</f>
        <v>0.13559322033898305</v>
      </c>
      <c r="AD13" s="273" t="str">
        <f>Master_Data[[#This Row],[Prac. Book]]</f>
        <v>U</v>
      </c>
      <c r="AE13" s="273" t="str">
        <f>Master_Data[[#This Row],[GARP EOC Ques.]]</f>
        <v>U</v>
      </c>
    </row>
    <row r="14" spans="1:31" ht="27" customHeight="1">
      <c r="B14" s="3">
        <v>6</v>
      </c>
      <c r="C14" s="182" t="str">
        <f ca="1">IF(Master_Data[[#This Row],[Column1]]=0,"",IF(Master_Data[[#This Row],[Column1]]=1,"Current Week",CONCATENATE("Week ",Master_Data[[#This Row],[Column1]])))</f>
        <v>Week 3</v>
      </c>
      <c r="D14" s="3">
        <f ca="1">ROUNDUP(Master_Data[[#This Row],[Column2]]/Working!$C$8,0)</f>
        <v>3</v>
      </c>
      <c r="E14" s="15">
        <f>SUM($F$9:F14)</f>
        <v>0.37707175925925923</v>
      </c>
      <c r="F14" s="27">
        <f>IF(Master_Data[[#This Row],[Lectures]]="D","",Master_Data[[#This Row],[Duration (hh:mm)]])</f>
        <v>2.6157407407407407E-2</v>
      </c>
      <c r="G14" s="2" t="s">
        <v>160</v>
      </c>
      <c r="H14" s="2">
        <v>3</v>
      </c>
      <c r="I14" s="2" t="s">
        <v>96</v>
      </c>
      <c r="J14" s="45" t="s">
        <v>231</v>
      </c>
      <c r="K14" s="16">
        <v>6</v>
      </c>
      <c r="L14" s="44">
        <v>2</v>
      </c>
      <c r="M14" s="44">
        <v>4</v>
      </c>
      <c r="N14" s="44">
        <v>5</v>
      </c>
      <c r="O14" s="44">
        <v>5</v>
      </c>
      <c r="P14" s="44">
        <v>3</v>
      </c>
      <c r="Q14" s="44">
        <v>3</v>
      </c>
      <c r="R14" s="13">
        <v>2.6157407407407407E-2</v>
      </c>
      <c r="S14" s="43">
        <f>(SUM($R$9:R14)/$R$4)*100</f>
        <v>4.7531163192418102</v>
      </c>
      <c r="T14" s="28" t="s">
        <v>6</v>
      </c>
      <c r="U14" s="28" t="s">
        <v>6</v>
      </c>
      <c r="V14" s="28" t="s">
        <v>6</v>
      </c>
      <c r="W14" s="28" t="s">
        <v>6</v>
      </c>
      <c r="X14" s="28" t="s">
        <v>6</v>
      </c>
      <c r="Y14" s="158">
        <v>3</v>
      </c>
      <c r="Z14" s="17"/>
      <c r="AA14" s="173">
        <f t="shared" si="0"/>
        <v>8.4269662921348312E-3</v>
      </c>
      <c r="AB14" s="174">
        <f>Master_Data[[#This Row],[Imp. Level]]/SUMIF(Master_Data[Subject],Master_Data[[#This Row],[Subject]],Master_Data[Imp. Level])</f>
        <v>5.0847457627118647E-2</v>
      </c>
      <c r="AC14" s="157">
        <f>Master_Data[[#This Row],[Subjectwise weights]]*Master_Data[[#This Row],[Confidence Level]]</f>
        <v>0.15254237288135594</v>
      </c>
      <c r="AD14" s="273" t="str">
        <f>Master_Data[[#This Row],[Prac. Book]]</f>
        <v>U</v>
      </c>
      <c r="AE14" s="273" t="str">
        <f>Master_Data[[#This Row],[GARP EOC Ques.]]</f>
        <v>U</v>
      </c>
    </row>
    <row r="15" spans="1:31" ht="27" customHeight="1">
      <c r="B15" s="3">
        <v>7</v>
      </c>
      <c r="C15" s="182" t="str">
        <f ca="1">IF(Master_Data[[#This Row],[Column1]]=0,"",IF(Master_Data[[#This Row],[Column1]]=1,"Current Week",CONCATENATE("Week ",Master_Data[[#This Row],[Column1]])))</f>
        <v>Week 3</v>
      </c>
      <c r="D15" s="3">
        <f ca="1">ROUNDUP(Master_Data[[#This Row],[Column2]]/Working!$C$8,0)</f>
        <v>3</v>
      </c>
      <c r="E15" s="15">
        <f>SUM($F$9:F15)</f>
        <v>0.44600694444444444</v>
      </c>
      <c r="F15" s="27">
        <f>IF(Master_Data[[#This Row],[Lectures]]="D","",Master_Data[[#This Row],[Duration (hh:mm)]])</f>
        <v>6.8935185185185183E-2</v>
      </c>
      <c r="G15" s="2" t="s">
        <v>160</v>
      </c>
      <c r="H15" s="2">
        <v>4</v>
      </c>
      <c r="I15" s="2" t="s">
        <v>96</v>
      </c>
      <c r="J15" s="45" t="s">
        <v>161</v>
      </c>
      <c r="K15" s="16">
        <v>6</v>
      </c>
      <c r="L15" s="44">
        <v>4</v>
      </c>
      <c r="M15" s="44">
        <v>3</v>
      </c>
      <c r="N15" s="44">
        <v>4</v>
      </c>
      <c r="O15" s="44">
        <v>5</v>
      </c>
      <c r="P15" s="44">
        <v>5</v>
      </c>
      <c r="Q15" s="44">
        <v>4</v>
      </c>
      <c r="R15" s="11">
        <v>6.8935185185185183E-2</v>
      </c>
      <c r="S15" s="43">
        <f>(SUM($R$9:R15)/$R$4)*100</f>
        <v>5.6220675085786302</v>
      </c>
      <c r="T15" s="28" t="s">
        <v>6</v>
      </c>
      <c r="U15" s="28" t="s">
        <v>6</v>
      </c>
      <c r="V15" s="28" t="s">
        <v>6</v>
      </c>
      <c r="W15" s="28" t="s">
        <v>6</v>
      </c>
      <c r="X15" s="28" t="s">
        <v>6</v>
      </c>
      <c r="Y15" s="158">
        <v>2</v>
      </c>
      <c r="Z15" s="17"/>
      <c r="AA15" s="173">
        <f t="shared" si="0"/>
        <v>1.4044943820224719E-2</v>
      </c>
      <c r="AB15" s="174">
        <f>Master_Data[[#This Row],[Imp. Level]]/SUMIF(Master_Data[Subject],Master_Data[[#This Row],[Subject]],Master_Data[Imp. Level])</f>
        <v>8.4745762711864403E-2</v>
      </c>
      <c r="AC15" s="157">
        <f>Master_Data[[#This Row],[Subjectwise weights]]*Master_Data[[#This Row],[Confidence Level]]</f>
        <v>0.16949152542372881</v>
      </c>
      <c r="AD15" s="273" t="str">
        <f>Master_Data[[#This Row],[Prac. Book]]</f>
        <v>U</v>
      </c>
      <c r="AE15" s="273" t="str">
        <f>Master_Data[[#This Row],[GARP EOC Ques.]]</f>
        <v>U</v>
      </c>
    </row>
    <row r="16" spans="1:31" ht="27" customHeight="1">
      <c r="B16" s="3">
        <v>8</v>
      </c>
      <c r="C16" s="182" t="str">
        <f ca="1">IF(Master_Data[[#This Row],[Column1]]=0,"",IF(Master_Data[[#This Row],[Column1]]=1,"Current Week",CONCATENATE("Week ",Master_Data[[#This Row],[Column1]])))</f>
        <v>Week 4</v>
      </c>
      <c r="D16" s="3">
        <f ca="1">ROUNDUP(Master_Data[[#This Row],[Column2]]/Working!$C$8,0)</f>
        <v>4</v>
      </c>
      <c r="E16" s="15">
        <f>SUM($F$9:F16)</f>
        <v>0.52038194444444441</v>
      </c>
      <c r="F16" s="27">
        <f>IF(Master_Data[[#This Row],[Lectures]]="D","",Master_Data[[#This Row],[Duration (hh:mm)]])</f>
        <v>7.4375000000000011E-2</v>
      </c>
      <c r="G16" s="2" t="s">
        <v>160</v>
      </c>
      <c r="H16" s="2">
        <v>5</v>
      </c>
      <c r="I16" s="2" t="s">
        <v>96</v>
      </c>
      <c r="J16" s="45" t="s">
        <v>162</v>
      </c>
      <c r="K16" s="16">
        <v>7</v>
      </c>
      <c r="L16" s="44">
        <v>4</v>
      </c>
      <c r="M16" s="44">
        <v>3</v>
      </c>
      <c r="N16" s="44">
        <v>4</v>
      </c>
      <c r="O16" s="44">
        <v>4</v>
      </c>
      <c r="P16" s="44">
        <v>4</v>
      </c>
      <c r="Q16" s="44">
        <v>3</v>
      </c>
      <c r="R16" s="13">
        <v>7.4375000000000011E-2</v>
      </c>
      <c r="S16" s="43">
        <f>(SUM($R$9:R16)/$R$4)*100</f>
        <v>6.5595893928429678</v>
      </c>
      <c r="T16" s="28" t="s">
        <v>6</v>
      </c>
      <c r="U16" s="28" t="s">
        <v>6</v>
      </c>
      <c r="V16" s="28" t="s">
        <v>6</v>
      </c>
      <c r="W16" s="28" t="s">
        <v>6</v>
      </c>
      <c r="X16" s="28" t="s">
        <v>6</v>
      </c>
      <c r="Y16" s="158">
        <v>2</v>
      </c>
      <c r="Z16" s="17"/>
      <c r="AA16" s="173">
        <f>P16/SUM($P$9:$P$70)</f>
        <v>1.7467248908296942E-2</v>
      </c>
      <c r="AB16" s="174">
        <f>Master_Data[[#This Row],[Imp. Level]]/SUMIF(Master_Data[Subject],Master_Data[[#This Row],[Subject]],Master_Data[Imp. Level])</f>
        <v>6.7796610169491525E-2</v>
      </c>
      <c r="AC16" s="157">
        <f>Master_Data[[#This Row],[Subjectwise weights]]*Master_Data[[#This Row],[Confidence Level]]</f>
        <v>0.13559322033898305</v>
      </c>
      <c r="AD16" s="273" t="str">
        <f>Master_Data[[#This Row],[Prac. Book]]</f>
        <v>U</v>
      </c>
      <c r="AE16" s="273" t="str">
        <f>Master_Data[[#This Row],[GARP EOC Ques.]]</f>
        <v>U</v>
      </c>
    </row>
    <row r="17" spans="2:66" s="42" customFormat="1" ht="27" customHeight="1">
      <c r="B17" s="3">
        <v>9</v>
      </c>
      <c r="C17" s="182" t="str">
        <f ca="1">IF(Master_Data[[#This Row],[Column1]]=0,"",IF(Master_Data[[#This Row],[Column1]]=1,"Current Week",CONCATENATE("Week ",Master_Data[[#This Row],[Column1]])))</f>
        <v>Week 4</v>
      </c>
      <c r="D17" s="3">
        <f ca="1">ROUNDUP(Master_Data[[#This Row],[Column2]]/Working!$C$8,0)</f>
        <v>4</v>
      </c>
      <c r="E17" s="15">
        <f>SUM($F$9:F17)</f>
        <v>0.56010416666666663</v>
      </c>
      <c r="F17" s="27">
        <f>IF(Master_Data[[#This Row],[Lectures]]="D","",Master_Data[[#This Row],[Duration (hh:mm)]])</f>
        <v>3.9722222222222221E-2</v>
      </c>
      <c r="G17" s="2" t="s">
        <v>160</v>
      </c>
      <c r="H17" s="2">
        <v>6</v>
      </c>
      <c r="I17" s="2" t="s">
        <v>96</v>
      </c>
      <c r="J17" s="271" t="s">
        <v>232</v>
      </c>
      <c r="K17" s="16">
        <v>6</v>
      </c>
      <c r="L17" s="44">
        <v>2</v>
      </c>
      <c r="M17" s="44">
        <v>1</v>
      </c>
      <c r="N17" s="44">
        <v>3</v>
      </c>
      <c r="O17" s="44">
        <v>3</v>
      </c>
      <c r="P17" s="44">
        <v>3</v>
      </c>
      <c r="Q17" s="44">
        <v>3</v>
      </c>
      <c r="R17" s="13">
        <v>3.9722222222222221E-2</v>
      </c>
      <c r="S17" s="43">
        <f>(SUM($R$9:R17)/$R$4)*100</f>
        <v>7.0603013609094489</v>
      </c>
      <c r="T17" s="28" t="s">
        <v>6</v>
      </c>
      <c r="U17" s="28" t="s">
        <v>6</v>
      </c>
      <c r="V17" s="28" t="s">
        <v>6</v>
      </c>
      <c r="W17" s="28" t="s">
        <v>6</v>
      </c>
      <c r="X17" s="28" t="s">
        <v>6</v>
      </c>
      <c r="Y17" s="158">
        <v>3</v>
      </c>
      <c r="Z17" s="17"/>
      <c r="AA17" s="173">
        <f>P17/SUM($P$9:$P$70)</f>
        <v>1.3100436681222707E-2</v>
      </c>
      <c r="AB17" s="174">
        <f>Master_Data[[#This Row],[Imp. Level]]/SUMIF(Master_Data[Subject],Master_Data[[#This Row],[Subject]],Master_Data[Imp. Level])</f>
        <v>5.0847457627118647E-2</v>
      </c>
      <c r="AC17" s="157">
        <f>Master_Data[[#This Row],[Subjectwise weights]]*Master_Data[[#This Row],[Confidence Level]]</f>
        <v>0.15254237288135594</v>
      </c>
      <c r="AD17" s="273" t="str">
        <f>Master_Data[[#This Row],[Prac. Book]]</f>
        <v>U</v>
      </c>
      <c r="AE17" s="273" t="str">
        <f>Master_Data[[#This Row],[GARP EOC Ques.]]</f>
        <v>U</v>
      </c>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row>
    <row r="18" spans="2:66" ht="27" customHeight="1">
      <c r="B18" s="3">
        <v>10</v>
      </c>
      <c r="C18" s="182" t="str">
        <f ca="1">IF(Master_Data[[#This Row],[Column1]]=0,"",IF(Master_Data[[#This Row],[Column1]]=1,"Current Week",CONCATENATE("Week ",Master_Data[[#This Row],[Column1]])))</f>
        <v>Week 4</v>
      </c>
      <c r="D18" s="3">
        <f ca="1">ROUNDUP(Master_Data[[#This Row],[Column2]]/Working!$C$8,0)</f>
        <v>4</v>
      </c>
      <c r="E18" s="15">
        <f>SUM($F$9:F18)</f>
        <v>0.6576157407407407</v>
      </c>
      <c r="F18" s="27">
        <f>IF(Master_Data[[#This Row],[Lectures]]="D","",Master_Data[[#This Row],[Duration (hh:mm)]])</f>
        <v>9.751157407407407E-2</v>
      </c>
      <c r="G18" s="2" t="s">
        <v>227</v>
      </c>
      <c r="H18" s="2">
        <v>86</v>
      </c>
      <c r="I18" s="2" t="s">
        <v>96</v>
      </c>
      <c r="J18" s="45" t="s">
        <v>163</v>
      </c>
      <c r="K18" s="16">
        <v>9</v>
      </c>
      <c r="L18" s="44">
        <v>3</v>
      </c>
      <c r="M18" s="44">
        <v>2</v>
      </c>
      <c r="N18" s="44">
        <v>5</v>
      </c>
      <c r="O18" s="44">
        <v>5</v>
      </c>
      <c r="P18" s="44">
        <v>3</v>
      </c>
      <c r="Q18" s="44">
        <v>3</v>
      </c>
      <c r="R18" s="12">
        <v>9.751157407407407E-2</v>
      </c>
      <c r="S18" s="43">
        <f>(SUM($R$9:R18)/$R$4)*100</f>
        <v>8.2894675412591301</v>
      </c>
      <c r="T18" s="28" t="s">
        <v>6</v>
      </c>
      <c r="U18" s="28" t="s">
        <v>6</v>
      </c>
      <c r="V18" s="28" t="s">
        <v>6</v>
      </c>
      <c r="W18" s="28" t="s">
        <v>6</v>
      </c>
      <c r="X18" s="28" t="s">
        <v>6</v>
      </c>
      <c r="Y18" s="158">
        <v>3</v>
      </c>
      <c r="Z18" s="17"/>
      <c r="AA18" s="173">
        <f>P18/SUM($P$9:$P$70)</f>
        <v>1.3100436681222707E-2</v>
      </c>
      <c r="AB18" s="174">
        <f>Master_Data[[#This Row],[Imp. Level]]/SUMIF(Master_Data[Subject],Master_Data[[#This Row],[Subject]],Master_Data[Imp. Level])</f>
        <v>7.6923076923076927E-2</v>
      </c>
      <c r="AC18" s="157">
        <f>Master_Data[[#This Row],[Subjectwise weights]]*Master_Data[[#This Row],[Confidence Level]]</f>
        <v>0.23076923076923078</v>
      </c>
      <c r="AD18" s="273" t="str">
        <f>Master_Data[[#This Row],[Prac. Book]]</f>
        <v>U</v>
      </c>
      <c r="AE18" s="273" t="str">
        <f>Master_Data[[#This Row],[GARP EOC Ques.]]</f>
        <v>U</v>
      </c>
    </row>
    <row r="19" spans="2:66" ht="27" customHeight="1">
      <c r="B19" s="3">
        <v>11</v>
      </c>
      <c r="C19" s="182" t="str">
        <f ca="1">IF(Master_Data[[#This Row],[Column1]]=0,"",IF(Master_Data[[#This Row],[Column1]]=1,"Current Week",CONCATENATE("Week ",Master_Data[[#This Row],[Column1]])))</f>
        <v>Week 5</v>
      </c>
      <c r="D19" s="3">
        <f ca="1">ROUNDUP(Master_Data[[#This Row],[Column2]]/Working!$C$8,0)</f>
        <v>5</v>
      </c>
      <c r="E19" s="15">
        <f>SUM($F$9:F19)</f>
        <v>0.74195601851851845</v>
      </c>
      <c r="F19" s="27">
        <f>IF(Master_Data[[#This Row],[Lectures]]="D","",Master_Data[[#This Row],[Duration (hh:mm)]])</f>
        <v>8.4340277777777764E-2</v>
      </c>
      <c r="G19" s="2" t="s">
        <v>227</v>
      </c>
      <c r="H19" s="2">
        <v>87</v>
      </c>
      <c r="I19" s="2" t="s">
        <v>96</v>
      </c>
      <c r="J19" s="45" t="s">
        <v>233</v>
      </c>
      <c r="K19" s="16">
        <v>5</v>
      </c>
      <c r="L19" s="44">
        <v>3</v>
      </c>
      <c r="M19" s="44">
        <v>4</v>
      </c>
      <c r="N19" s="44">
        <v>4</v>
      </c>
      <c r="O19" s="44">
        <v>4</v>
      </c>
      <c r="P19" s="44">
        <v>5</v>
      </c>
      <c r="Q19" s="44">
        <v>4</v>
      </c>
      <c r="R19" s="11">
        <v>8.4340277777777764E-2</v>
      </c>
      <c r="S19" s="43">
        <f>(SUM($R$9:R19)/$R$4)*100</f>
        <v>9.3526051028268586</v>
      </c>
      <c r="T19" s="28" t="s">
        <v>6</v>
      </c>
      <c r="U19" s="28" t="s">
        <v>6</v>
      </c>
      <c r="V19" s="28" t="s">
        <v>6</v>
      </c>
      <c r="W19" s="28" t="s">
        <v>6</v>
      </c>
      <c r="X19" s="28" t="s">
        <v>6</v>
      </c>
      <c r="Y19" s="158">
        <v>2</v>
      </c>
      <c r="Z19" s="17"/>
      <c r="AA19" s="173">
        <f>P19/SUM($P$9:$P$111)</f>
        <v>1.4044943820224719E-2</v>
      </c>
      <c r="AB19" s="174">
        <f>Master_Data[[#This Row],[Imp. Level]]/SUMIF(Master_Data[Subject],Master_Data[[#This Row],[Subject]],Master_Data[Imp. Level])</f>
        <v>0.12820512820512819</v>
      </c>
      <c r="AC19" s="157">
        <f>Master_Data[[#This Row],[Subjectwise weights]]*Master_Data[[#This Row],[Confidence Level]]</f>
        <v>0.25641025641025639</v>
      </c>
      <c r="AD19" s="273" t="str">
        <f>Master_Data[[#This Row],[Prac. Book]]</f>
        <v>U</v>
      </c>
      <c r="AE19" s="273" t="str">
        <f>Master_Data[[#This Row],[GARP EOC Ques.]]</f>
        <v>U</v>
      </c>
    </row>
    <row r="20" spans="2:66" ht="27" customHeight="1">
      <c r="B20" s="3">
        <v>12</v>
      </c>
      <c r="C20" s="182" t="str">
        <f ca="1">IF(Master_Data[[#This Row],[Column1]]=0,"",IF(Master_Data[[#This Row],[Column1]]=1,"Current Week",CONCATENATE("Week ",Master_Data[[#This Row],[Column1]])))</f>
        <v>Week 6</v>
      </c>
      <c r="D20" s="3">
        <f ca="1">ROUNDUP(Master_Data[[#This Row],[Column2]]/Working!$C$8,0)</f>
        <v>6</v>
      </c>
      <c r="E20" s="15">
        <f>SUM($F$9:F20)</f>
        <v>0.84715277777777764</v>
      </c>
      <c r="F20" s="27">
        <f>IF(Master_Data[[#This Row],[Lectures]]="D","",Master_Data[[#This Row],[Duration (hh:mm)]])</f>
        <v>0.10519675925925925</v>
      </c>
      <c r="G20" s="2" t="s">
        <v>227</v>
      </c>
      <c r="H20" s="2">
        <v>88</v>
      </c>
      <c r="I20" s="2" t="s">
        <v>96</v>
      </c>
      <c r="J20" s="45" t="s">
        <v>164</v>
      </c>
      <c r="K20" s="16">
        <v>8</v>
      </c>
      <c r="L20" s="44">
        <v>3</v>
      </c>
      <c r="M20" s="44">
        <v>2</v>
      </c>
      <c r="N20" s="44">
        <v>3</v>
      </c>
      <c r="O20" s="44">
        <v>4</v>
      </c>
      <c r="P20" s="44">
        <v>4</v>
      </c>
      <c r="Q20" s="44">
        <v>3</v>
      </c>
      <c r="R20" s="12">
        <v>0.10519675925925925</v>
      </c>
      <c r="S20" s="43">
        <f>(SUM($R$9:R20)/$R$4)*100</f>
        <v>10.67864562664861</v>
      </c>
      <c r="T20" s="28" t="s">
        <v>6</v>
      </c>
      <c r="U20" s="28" t="s">
        <v>6</v>
      </c>
      <c r="V20" s="28" t="s">
        <v>6</v>
      </c>
      <c r="W20" s="28" t="s">
        <v>6</v>
      </c>
      <c r="X20" s="28" t="s">
        <v>6</v>
      </c>
      <c r="Y20" s="158">
        <v>2</v>
      </c>
      <c r="Z20" s="17"/>
      <c r="AA20" s="173">
        <f>P20/SUM($P$9:$P$111)</f>
        <v>1.1235955056179775E-2</v>
      </c>
      <c r="AB20" s="174">
        <f>Master_Data[[#This Row],[Imp. Level]]/SUMIF(Master_Data[Subject],Master_Data[[#This Row],[Subject]],Master_Data[Imp. Level])</f>
        <v>0.10256410256410256</v>
      </c>
      <c r="AC20" s="157">
        <f>Master_Data[[#This Row],[Subjectwise weights]]*Master_Data[[#This Row],[Confidence Level]]</f>
        <v>0.20512820512820512</v>
      </c>
      <c r="AD20" s="273" t="str">
        <f>Master_Data[[#This Row],[Prac. Book]]</f>
        <v>U</v>
      </c>
      <c r="AE20" s="273" t="str">
        <f>Master_Data[[#This Row],[GARP EOC Ques.]]</f>
        <v>U</v>
      </c>
    </row>
    <row r="21" spans="2:66" ht="27" customHeight="1">
      <c r="B21" s="3">
        <v>13</v>
      </c>
      <c r="C21" s="182" t="str">
        <f ca="1">IF(Master_Data[[#This Row],[Column1]]=0,"",IF(Master_Data[[#This Row],[Column1]]=1,"Current Week",CONCATENATE("Week ",Master_Data[[#This Row],[Column1]])))</f>
        <v>Week 6</v>
      </c>
      <c r="D21" s="3">
        <f ca="1">ROUNDUP(Master_Data[[#This Row],[Column2]]/Working!$C$8,0)</f>
        <v>6</v>
      </c>
      <c r="E21" s="15">
        <f>SUM($F$9:F21)</f>
        <v>0.94512731481481471</v>
      </c>
      <c r="F21" s="27">
        <f>IF(Master_Data[[#This Row],[Lectures]]="D","",Master_Data[[#This Row],[Duration (hh:mm)]])</f>
        <v>9.7974537037037027E-2</v>
      </c>
      <c r="G21" s="2" t="s">
        <v>160</v>
      </c>
      <c r="H21" s="2">
        <v>7</v>
      </c>
      <c r="I21" s="2" t="s">
        <v>277</v>
      </c>
      <c r="J21" s="45" t="s">
        <v>234</v>
      </c>
      <c r="K21" s="16">
        <v>7</v>
      </c>
      <c r="L21" s="44">
        <v>4</v>
      </c>
      <c r="M21" s="44">
        <v>2</v>
      </c>
      <c r="N21" s="44">
        <v>3</v>
      </c>
      <c r="O21" s="44">
        <v>4</v>
      </c>
      <c r="P21" s="44">
        <v>3</v>
      </c>
      <c r="Q21" s="44">
        <v>3</v>
      </c>
      <c r="R21" s="13">
        <v>9.7974537037037027E-2</v>
      </c>
      <c r="S21" s="43">
        <f>(SUM($R$9:R21)/$R$4)*100</f>
        <v>11.91364761082191</v>
      </c>
      <c r="T21" s="28" t="s">
        <v>6</v>
      </c>
      <c r="U21" s="28" t="s">
        <v>6</v>
      </c>
      <c r="V21" s="28" t="s">
        <v>6</v>
      </c>
      <c r="W21" s="28" t="s">
        <v>6</v>
      </c>
      <c r="X21" s="28" t="s">
        <v>6</v>
      </c>
      <c r="Y21" s="158">
        <v>3</v>
      </c>
      <c r="Z21" s="17"/>
      <c r="AA21" s="173">
        <f>P21/SUM($P$9:$P$70)</f>
        <v>1.3100436681222707E-2</v>
      </c>
      <c r="AB21" s="174">
        <f>Master_Data[[#This Row],[Imp. Level]]/SUMIF(Master_Data[Subject],Master_Data[[#This Row],[Subject]],Master_Data[Imp. Level])</f>
        <v>5.0847457627118647E-2</v>
      </c>
      <c r="AC21" s="157">
        <f>Master_Data[[#This Row],[Subjectwise weights]]*Master_Data[[#This Row],[Confidence Level]]</f>
        <v>0.15254237288135594</v>
      </c>
      <c r="AD21" s="273" t="str">
        <f>Master_Data[[#This Row],[Prac. Book]]</f>
        <v>U</v>
      </c>
      <c r="AE21" s="273" t="str">
        <f>Master_Data[[#This Row],[GARP EOC Ques.]]</f>
        <v>U</v>
      </c>
    </row>
    <row r="22" spans="2:66" ht="27" customHeight="1">
      <c r="B22" s="3">
        <v>14</v>
      </c>
      <c r="C22" s="182" t="str">
        <f ca="1">IF(Master_Data[[#This Row],[Column1]]=0,"",IF(Master_Data[[#This Row],[Column1]]=1,"Current Week",CONCATENATE("Week ",Master_Data[[#This Row],[Column1]])))</f>
        <v>Week 6</v>
      </c>
      <c r="D22" s="3">
        <f ca="1">ROUNDUP(Master_Data[[#This Row],[Column2]]/Working!$C$8,0)</f>
        <v>6</v>
      </c>
      <c r="E22" s="15">
        <f>SUM($F$9:F22)</f>
        <v>0.97482638888888884</v>
      </c>
      <c r="F22" s="27">
        <f>IF(Master_Data[[#This Row],[Lectures]]="D","",Master_Data[[#This Row],[Duration (hh:mm)]])</f>
        <v>2.9699074074074072E-2</v>
      </c>
      <c r="G22" s="2" t="s">
        <v>160</v>
      </c>
      <c r="H22" s="2">
        <v>8</v>
      </c>
      <c r="I22" s="2" t="s">
        <v>96</v>
      </c>
      <c r="J22" s="45" t="s">
        <v>235</v>
      </c>
      <c r="K22" s="16">
        <v>3</v>
      </c>
      <c r="L22" s="44">
        <v>2</v>
      </c>
      <c r="M22" s="44">
        <v>4</v>
      </c>
      <c r="N22" s="44">
        <v>3</v>
      </c>
      <c r="O22" s="44">
        <v>4</v>
      </c>
      <c r="P22" s="44">
        <v>3</v>
      </c>
      <c r="Q22" s="44">
        <v>3</v>
      </c>
      <c r="R22" s="13">
        <v>2.9699074074074072E-2</v>
      </c>
      <c r="S22" s="43">
        <f>(SUM($R$9:R22)/$R$4)*100</f>
        <v>12.288014426107047</v>
      </c>
      <c r="T22" s="28" t="s">
        <v>6</v>
      </c>
      <c r="U22" s="28" t="s">
        <v>6</v>
      </c>
      <c r="V22" s="28" t="s">
        <v>6</v>
      </c>
      <c r="W22" s="28" t="s">
        <v>6</v>
      </c>
      <c r="X22" s="28" t="s">
        <v>6</v>
      </c>
      <c r="Y22" s="158">
        <v>3</v>
      </c>
      <c r="Z22" s="17"/>
      <c r="AA22" s="173">
        <f>P22/SUM($P$9:$P$70)</f>
        <v>1.3100436681222707E-2</v>
      </c>
      <c r="AB22" s="174">
        <f>Master_Data[[#This Row],[Imp. Level]]/SUMIF(Master_Data[Subject],Master_Data[[#This Row],[Subject]],Master_Data[Imp. Level])</f>
        <v>5.0847457627118647E-2</v>
      </c>
      <c r="AC22" s="157">
        <f>Master_Data[[#This Row],[Subjectwise weights]]*Master_Data[[#This Row],[Confidence Level]]</f>
        <v>0.15254237288135594</v>
      </c>
      <c r="AD22" s="273" t="str">
        <f>Master_Data[[#This Row],[Prac. Book]]</f>
        <v>U</v>
      </c>
      <c r="AE22" s="273" t="str">
        <f>Master_Data[[#This Row],[GARP EOC Ques.]]</f>
        <v>U</v>
      </c>
    </row>
    <row r="23" spans="2:66" ht="27" customHeight="1">
      <c r="B23" s="3">
        <v>15</v>
      </c>
      <c r="C23" s="182" t="str">
        <f ca="1">IF(Master_Data[[#This Row],[Column1]]=0,"",IF(Master_Data[[#This Row],[Column1]]=1,"Current Week",CONCATENATE("Week ",Master_Data[[#This Row],[Column1]])))</f>
        <v>Week 7</v>
      </c>
      <c r="D23" s="3">
        <f ca="1">ROUNDUP(Master_Data[[#This Row],[Column2]]/Working!$C$8,0)</f>
        <v>7</v>
      </c>
      <c r="E23" s="15">
        <f>SUM($F$9:F23)</f>
        <v>1.0261689814814814</v>
      </c>
      <c r="F23" s="27">
        <f>IF(Master_Data[[#This Row],[Lectures]]="D","",Master_Data[[#This Row],[Duration (hh:mm)]])</f>
        <v>5.1342592592592586E-2</v>
      </c>
      <c r="G23" s="2" t="s">
        <v>160</v>
      </c>
      <c r="H23" s="2">
        <v>9</v>
      </c>
      <c r="I23" s="2" t="s">
        <v>96</v>
      </c>
      <c r="J23" s="45" t="s">
        <v>236</v>
      </c>
      <c r="K23" s="16">
        <v>3</v>
      </c>
      <c r="L23" s="44">
        <v>1</v>
      </c>
      <c r="M23" s="44">
        <v>2</v>
      </c>
      <c r="N23" s="44">
        <v>5</v>
      </c>
      <c r="O23" s="44">
        <v>5</v>
      </c>
      <c r="P23" s="44">
        <v>3</v>
      </c>
      <c r="Q23" s="44">
        <v>3</v>
      </c>
      <c r="R23" s="13">
        <v>5.1342592592592586E-2</v>
      </c>
      <c r="S23" s="43">
        <f>(SUM($R$9:R23)/$R$4)*100</f>
        <v>12.935205070146358</v>
      </c>
      <c r="T23" s="28" t="s">
        <v>6</v>
      </c>
      <c r="U23" s="28" t="s">
        <v>6</v>
      </c>
      <c r="V23" s="28" t="s">
        <v>6</v>
      </c>
      <c r="W23" s="28" t="s">
        <v>6</v>
      </c>
      <c r="X23" s="28" t="s">
        <v>6</v>
      </c>
      <c r="Y23" s="158">
        <v>2</v>
      </c>
      <c r="Z23" s="17"/>
      <c r="AA23" s="173">
        <f>P23/SUM($P$9:$P$70)</f>
        <v>1.3100436681222707E-2</v>
      </c>
      <c r="AB23" s="174">
        <f>Master_Data[[#This Row],[Imp. Level]]/SUMIF(Master_Data[Subject],Master_Data[[#This Row],[Subject]],Master_Data[Imp. Level])</f>
        <v>5.0847457627118647E-2</v>
      </c>
      <c r="AC23" s="157">
        <f>Master_Data[[#This Row],[Subjectwise weights]]*Master_Data[[#This Row],[Confidence Level]]</f>
        <v>0.10169491525423729</v>
      </c>
      <c r="AD23" s="273" t="str">
        <f>Master_Data[[#This Row],[Prac. Book]]</f>
        <v>U</v>
      </c>
      <c r="AE23" s="273" t="str">
        <f>Master_Data[[#This Row],[GARP EOC Ques.]]</f>
        <v>U</v>
      </c>
    </row>
    <row r="24" spans="2:66" ht="27" customHeight="1">
      <c r="B24" s="3">
        <v>16</v>
      </c>
      <c r="C24" s="182" t="str">
        <f ca="1">IF(Master_Data[[#This Row],[Column1]]=0,"",IF(Master_Data[[#This Row],[Column1]]=1,"Current Week",CONCATENATE("Week ",Master_Data[[#This Row],[Column1]])))</f>
        <v>Week 7</v>
      </c>
      <c r="D24" s="3">
        <f ca="1">ROUNDUP(Master_Data[[#This Row],[Column2]]/Working!$C$8,0)</f>
        <v>7</v>
      </c>
      <c r="E24" s="15">
        <f>SUM($F$9:F24)</f>
        <v>1.093761574074074</v>
      </c>
      <c r="F24" s="27">
        <f>IF(Master_Data[[#This Row],[Lectures]]="D","",Master_Data[[#This Row],[Duration (hh:mm)]])</f>
        <v>6.7592592592592593E-2</v>
      </c>
      <c r="G24" s="2" t="s">
        <v>227</v>
      </c>
      <c r="H24" s="2">
        <v>89</v>
      </c>
      <c r="I24" s="2" t="s">
        <v>96</v>
      </c>
      <c r="J24" s="45" t="s">
        <v>165</v>
      </c>
      <c r="K24" s="16">
        <v>10</v>
      </c>
      <c r="L24" s="44">
        <v>3</v>
      </c>
      <c r="M24" s="44">
        <v>1</v>
      </c>
      <c r="N24" s="44">
        <v>3</v>
      </c>
      <c r="O24" s="44">
        <v>3</v>
      </c>
      <c r="P24" s="44">
        <v>3</v>
      </c>
      <c r="Q24" s="44">
        <v>3</v>
      </c>
      <c r="R24" s="12">
        <v>6.7592592592592593E-2</v>
      </c>
      <c r="S24" s="43">
        <f>(SUM($R$9:R24)/$R$4)*100</f>
        <v>13.787232428394683</v>
      </c>
      <c r="T24" s="28" t="s">
        <v>6</v>
      </c>
      <c r="U24" s="28" t="s">
        <v>6</v>
      </c>
      <c r="V24" s="28" t="s">
        <v>6</v>
      </c>
      <c r="W24" s="28" t="s">
        <v>6</v>
      </c>
      <c r="X24" s="28" t="s">
        <v>6</v>
      </c>
      <c r="Y24" s="158">
        <v>2</v>
      </c>
      <c r="Z24" s="17"/>
      <c r="AA24" s="173">
        <f>P24/SUM($P$9:$P$70)</f>
        <v>1.3100436681222707E-2</v>
      </c>
      <c r="AB24" s="174">
        <f>Master_Data[[#This Row],[Imp. Level]]/SUMIF(Master_Data[Subject],Master_Data[[#This Row],[Subject]],Master_Data[Imp. Level])</f>
        <v>7.6923076923076927E-2</v>
      </c>
      <c r="AC24" s="157">
        <f>Master_Data[[#This Row],[Subjectwise weights]]*Master_Data[[#This Row],[Confidence Level]]</f>
        <v>0.15384615384615385</v>
      </c>
      <c r="AD24" s="273" t="str">
        <f>Master_Data[[#This Row],[Prac. Book]]</f>
        <v>U</v>
      </c>
      <c r="AE24" s="273" t="str">
        <f>Master_Data[[#This Row],[GARP EOC Ques.]]</f>
        <v>U</v>
      </c>
    </row>
    <row r="25" spans="2:66" ht="27" customHeight="1">
      <c r="B25" s="3">
        <v>17</v>
      </c>
      <c r="C25" s="182" t="str">
        <f ca="1">IF(Master_Data[[#This Row],[Column1]]=0,"",IF(Master_Data[[#This Row],[Column1]]=1,"Current Week",CONCATENATE("Week ",Master_Data[[#This Row],[Column1]])))</f>
        <v>Week 8</v>
      </c>
      <c r="D25" s="3">
        <f ca="1">ROUNDUP(Master_Data[[#This Row],[Column2]]/Working!$C$8,0)</f>
        <v>8</v>
      </c>
      <c r="E25" s="15">
        <f>SUM($F$9:F25)</f>
        <v>1.1828587962962962</v>
      </c>
      <c r="F25" s="27">
        <f>IF(Master_Data[[#This Row],[Lectures]]="D","",Master_Data[[#This Row],[Duration (hh:mm)]])</f>
        <v>8.9097222222222217E-2</v>
      </c>
      <c r="G25" s="2" t="s">
        <v>227</v>
      </c>
      <c r="H25" s="2">
        <v>90</v>
      </c>
      <c r="I25" s="2" t="s">
        <v>96</v>
      </c>
      <c r="J25" s="45" t="s">
        <v>166</v>
      </c>
      <c r="K25" s="16">
        <v>9</v>
      </c>
      <c r="L25" s="44">
        <v>4</v>
      </c>
      <c r="M25" s="44">
        <v>3</v>
      </c>
      <c r="N25" s="44">
        <v>3</v>
      </c>
      <c r="O25" s="44">
        <v>4</v>
      </c>
      <c r="P25" s="44">
        <v>4</v>
      </c>
      <c r="Q25" s="44">
        <v>4</v>
      </c>
      <c r="R25" s="13">
        <v>8.9097222222222217E-2</v>
      </c>
      <c r="S25" s="43">
        <f>(SUM($R$9:R25)/$R$4)*100</f>
        <v>14.910332874250093</v>
      </c>
      <c r="T25" s="28" t="s">
        <v>6</v>
      </c>
      <c r="U25" s="28" t="s">
        <v>6</v>
      </c>
      <c r="V25" s="28" t="s">
        <v>6</v>
      </c>
      <c r="W25" s="28" t="s">
        <v>6</v>
      </c>
      <c r="X25" s="28" t="s">
        <v>6</v>
      </c>
      <c r="Y25" s="158">
        <v>2</v>
      </c>
      <c r="Z25" s="17"/>
      <c r="AA25" s="173">
        <f>P25/SUM($P$9:$P$70)</f>
        <v>1.7467248908296942E-2</v>
      </c>
      <c r="AB25" s="174">
        <f>Master_Data[[#This Row],[Imp. Level]]/SUMIF(Master_Data[Subject],Master_Data[[#This Row],[Subject]],Master_Data[Imp. Level])</f>
        <v>0.10256410256410256</v>
      </c>
      <c r="AC25" s="157">
        <f>Master_Data[[#This Row],[Subjectwise weights]]*Master_Data[[#This Row],[Confidence Level]]</f>
        <v>0.20512820512820512</v>
      </c>
      <c r="AD25" s="273" t="str">
        <f>Master_Data[[#This Row],[Prac. Book]]</f>
        <v>U</v>
      </c>
      <c r="AE25" s="273" t="str">
        <f>Master_Data[[#This Row],[GARP EOC Ques.]]</f>
        <v>U</v>
      </c>
    </row>
    <row r="26" spans="2:66" ht="27" customHeight="1">
      <c r="B26" s="3">
        <v>18</v>
      </c>
      <c r="C26" s="182" t="str">
        <f ca="1">IF(Master_Data[[#This Row],[Column1]]=0,"",IF(Master_Data[[#This Row],[Column1]]=1,"Current Week",CONCATENATE("Week ",Master_Data[[#This Row],[Column1]])))</f>
        <v>Week 8</v>
      </c>
      <c r="D26" s="3">
        <f ca="1">ROUNDUP(Master_Data[[#This Row],[Column2]]/Working!$C$8,0)</f>
        <v>8</v>
      </c>
      <c r="E26" s="15">
        <f>SUM($F$9:F26)</f>
        <v>1.3113310185185185</v>
      </c>
      <c r="F26" s="27">
        <f>IF(Master_Data[[#This Row],[Lectures]]="D","",Master_Data[[#This Row],[Duration (hh:mm)]])</f>
        <v>0.12847222222222224</v>
      </c>
      <c r="G26" s="2" t="s">
        <v>227</v>
      </c>
      <c r="H26" s="2">
        <v>91</v>
      </c>
      <c r="I26" s="2" t="s">
        <v>277</v>
      </c>
      <c r="J26" s="45" t="s">
        <v>170</v>
      </c>
      <c r="K26" s="16">
        <v>8</v>
      </c>
      <c r="L26" s="44">
        <v>3</v>
      </c>
      <c r="M26" s="44">
        <v>1</v>
      </c>
      <c r="N26" s="44">
        <v>3</v>
      </c>
      <c r="O26" s="44">
        <v>3</v>
      </c>
      <c r="P26" s="44">
        <v>3</v>
      </c>
      <c r="Q26" s="44">
        <v>3</v>
      </c>
      <c r="R26" s="12">
        <v>0.12847222222222224</v>
      </c>
      <c r="S26" s="43">
        <f>(SUM($R$9:R26)/$R$4)*100</f>
        <v>16.529768435304273</v>
      </c>
      <c r="T26" s="28" t="s">
        <v>6</v>
      </c>
      <c r="U26" s="28" t="s">
        <v>6</v>
      </c>
      <c r="V26" s="28" t="s">
        <v>6</v>
      </c>
      <c r="W26" s="28" t="s">
        <v>6</v>
      </c>
      <c r="X26" s="28" t="s">
        <v>6</v>
      </c>
      <c r="Y26" s="158">
        <v>3</v>
      </c>
      <c r="Z26" s="17"/>
      <c r="AA26" s="173">
        <f>P26/SUM($P$9:$P$111)</f>
        <v>8.4269662921348312E-3</v>
      </c>
      <c r="AB26" s="174">
        <f>Master_Data[[#This Row],[Imp. Level]]/SUMIF(Master_Data[Subject],Master_Data[[#This Row],[Subject]],Master_Data[Imp. Level])</f>
        <v>7.6923076923076927E-2</v>
      </c>
      <c r="AC26" s="157">
        <f>Master_Data[[#This Row],[Subjectwise weights]]*Master_Data[[#This Row],[Confidence Level]]</f>
        <v>0.23076923076923078</v>
      </c>
      <c r="AD26" s="273" t="str">
        <f>Master_Data[[#This Row],[Prac. Book]]</f>
        <v>U</v>
      </c>
      <c r="AE26" s="273" t="str">
        <f>Master_Data[[#This Row],[GARP EOC Ques.]]</f>
        <v>U</v>
      </c>
    </row>
    <row r="27" spans="2:66" ht="27" customHeight="1">
      <c r="B27" s="3">
        <v>19</v>
      </c>
      <c r="C27" s="182" t="str">
        <f ca="1">IF(Master_Data[[#This Row],[Column1]]=0,"",IF(Master_Data[[#This Row],[Column1]]=1,"Current Week",CONCATENATE("Week ",Master_Data[[#This Row],[Column1]])))</f>
        <v>Week 9</v>
      </c>
      <c r="D27" s="3">
        <f ca="1">ROUNDUP(Master_Data[[#This Row],[Column2]]/Working!$C$8,0)</f>
        <v>9</v>
      </c>
      <c r="E27" s="15">
        <f>SUM($F$9:F27)</f>
        <v>1.3589467592592592</v>
      </c>
      <c r="F27" s="27">
        <f>IF(Master_Data[[#This Row],[Lectures]]="D","",Master_Data[[#This Row],[Duration (hh:mm)]])</f>
        <v>4.7615740740740743E-2</v>
      </c>
      <c r="G27" s="2" t="s">
        <v>227</v>
      </c>
      <c r="H27" s="2">
        <v>92</v>
      </c>
      <c r="I27" s="2" t="s">
        <v>96</v>
      </c>
      <c r="J27" s="45" t="s">
        <v>171</v>
      </c>
      <c r="K27" s="16">
        <v>7</v>
      </c>
      <c r="L27" s="44">
        <v>2</v>
      </c>
      <c r="M27" s="44">
        <v>1</v>
      </c>
      <c r="N27" s="44">
        <v>2</v>
      </c>
      <c r="O27" s="44">
        <v>2</v>
      </c>
      <c r="P27" s="44">
        <v>2</v>
      </c>
      <c r="Q27" s="44">
        <v>3</v>
      </c>
      <c r="R27" s="13">
        <v>4.7615740740740743E-2</v>
      </c>
      <c r="S27" s="43">
        <f>(SUM($R$9:R27)/$R$4)*100</f>
        <v>17.129980858563453</v>
      </c>
      <c r="T27" s="28" t="s">
        <v>6</v>
      </c>
      <c r="U27" s="28" t="s">
        <v>6</v>
      </c>
      <c r="V27" s="28" t="s">
        <v>6</v>
      </c>
      <c r="W27" s="28" t="s">
        <v>6</v>
      </c>
      <c r="X27" s="28" t="s">
        <v>6</v>
      </c>
      <c r="Y27" s="158">
        <v>2</v>
      </c>
      <c r="Z27" s="17"/>
      <c r="AA27" s="173">
        <f>P27/SUM($P$9:$P$111)</f>
        <v>5.6179775280898875E-3</v>
      </c>
      <c r="AB27" s="174">
        <f>Master_Data[[#This Row],[Imp. Level]]/SUMIF(Master_Data[Subject],Master_Data[[#This Row],[Subject]],Master_Data[Imp. Level])</f>
        <v>5.128205128205128E-2</v>
      </c>
      <c r="AC27" s="157">
        <f>Master_Data[[#This Row],[Subjectwise weights]]*Master_Data[[#This Row],[Confidence Level]]</f>
        <v>0.10256410256410256</v>
      </c>
      <c r="AD27" s="273" t="str">
        <f>Master_Data[[#This Row],[Prac. Book]]</f>
        <v>U</v>
      </c>
      <c r="AE27" s="273" t="str">
        <f>Master_Data[[#This Row],[GARP EOC Ques.]]</f>
        <v>U</v>
      </c>
    </row>
    <row r="28" spans="2:66" ht="27" customHeight="1">
      <c r="B28" s="3">
        <v>20</v>
      </c>
      <c r="C28" s="182" t="str">
        <f ca="1">IF(Master_Data[[#This Row],[Column1]]=0,"",IF(Master_Data[[#This Row],[Column1]]=1,"Current Week",CONCATENATE("Week ",Master_Data[[#This Row],[Column1]])))</f>
        <v>Week 9</v>
      </c>
      <c r="D28" s="3">
        <f ca="1">ROUNDUP(Master_Data[[#This Row],[Column2]]/Working!$C$8,0)</f>
        <v>9</v>
      </c>
      <c r="E28" s="15">
        <f>SUM($F$9:F28)</f>
        <v>1.4263078703703704</v>
      </c>
      <c r="F28" s="27">
        <f>IF(Master_Data[[#This Row],[Lectures]]="D","",Master_Data[[#This Row],[Duration (hh:mm)]])</f>
        <v>6.7361111111111108E-2</v>
      </c>
      <c r="G28" s="2" t="s">
        <v>227</v>
      </c>
      <c r="H28" s="2">
        <v>93</v>
      </c>
      <c r="I28" s="2" t="s">
        <v>96</v>
      </c>
      <c r="J28" s="272" t="s">
        <v>225</v>
      </c>
      <c r="K28" s="16">
        <v>3</v>
      </c>
      <c r="L28" s="44">
        <v>2</v>
      </c>
      <c r="M28" s="44">
        <v>1</v>
      </c>
      <c r="N28" s="44">
        <v>2</v>
      </c>
      <c r="O28" s="44">
        <v>2</v>
      </c>
      <c r="P28" s="44">
        <v>3</v>
      </c>
      <c r="Q28" s="44">
        <v>3</v>
      </c>
      <c r="R28" s="13">
        <v>6.7361111111111108E-2</v>
      </c>
      <c r="S28" s="43">
        <f>(SUM($R$9:R28)/$R$4)*100</f>
        <v>17.97909031489997</v>
      </c>
      <c r="T28" s="28" t="s">
        <v>6</v>
      </c>
      <c r="U28" s="28" t="s">
        <v>6</v>
      </c>
      <c r="V28" s="28" t="s">
        <v>6</v>
      </c>
      <c r="W28" s="28" t="s">
        <v>6</v>
      </c>
      <c r="X28" s="28" t="s">
        <v>6</v>
      </c>
      <c r="Y28" s="158">
        <v>3</v>
      </c>
      <c r="Z28" s="17"/>
      <c r="AA28" s="173">
        <f>P28/SUM($P$9:$P$111)</f>
        <v>8.4269662921348312E-3</v>
      </c>
      <c r="AB28" s="174">
        <f>Master_Data[[#This Row],[Imp. Level]]/SUMIF(Master_Data[Subject],Master_Data[[#This Row],[Subject]],Master_Data[Imp. Level])</f>
        <v>7.6923076923076927E-2</v>
      </c>
      <c r="AC28" s="157">
        <f>Master_Data[[#This Row],[Subjectwise weights]]*Master_Data[[#This Row],[Confidence Level]]</f>
        <v>0.23076923076923078</v>
      </c>
      <c r="AD28" s="273" t="str">
        <f>Master_Data[[#This Row],[Prac. Book]]</f>
        <v>U</v>
      </c>
      <c r="AE28" s="273" t="str">
        <f>Master_Data[[#This Row],[GARP EOC Ques.]]</f>
        <v>U</v>
      </c>
    </row>
    <row r="29" spans="2:66" ht="27" customHeight="1">
      <c r="B29" s="3">
        <v>21</v>
      </c>
      <c r="C29" s="182" t="str">
        <f ca="1">IF(Master_Data[[#This Row],[Column1]]=0,"",IF(Master_Data[[#This Row],[Column1]]=1,"Current Week",CONCATENATE("Week ",Master_Data[[#This Row],[Column1]])))</f>
        <v>Week 9</v>
      </c>
      <c r="D29" s="3">
        <f ca="1">ROUNDUP(Master_Data[[#This Row],[Column2]]/Working!$C$8,0)</f>
        <v>9</v>
      </c>
      <c r="E29" s="15">
        <f>SUM($F$9:F29)</f>
        <v>1.4849305555555556</v>
      </c>
      <c r="F29" s="27">
        <f>IF(Master_Data[[#This Row],[Lectures]]="D","",Master_Data[[#This Row],[Duration (hh:mm)]])</f>
        <v>5.8622685185185187E-2</v>
      </c>
      <c r="G29" s="2" t="s">
        <v>160</v>
      </c>
      <c r="H29" s="2">
        <v>10</v>
      </c>
      <c r="I29" s="2" t="s">
        <v>96</v>
      </c>
      <c r="J29" s="45" t="s">
        <v>167</v>
      </c>
      <c r="K29" s="16">
        <v>7</v>
      </c>
      <c r="L29" s="44">
        <v>3</v>
      </c>
      <c r="M29" s="44">
        <v>3</v>
      </c>
      <c r="N29" s="44">
        <v>4</v>
      </c>
      <c r="O29" s="44">
        <v>4</v>
      </c>
      <c r="P29" s="44">
        <v>4</v>
      </c>
      <c r="Q29" s="44">
        <v>4</v>
      </c>
      <c r="R29" s="14">
        <v>5.8622685185185187E-2</v>
      </c>
      <c r="S29" s="43">
        <f>(SUM($R$9:R29)/$R$4)*100</f>
        <v>18.718048974065681</v>
      </c>
      <c r="T29" s="28" t="s">
        <v>6</v>
      </c>
      <c r="U29" s="28" t="s">
        <v>6</v>
      </c>
      <c r="V29" s="28" t="s">
        <v>6</v>
      </c>
      <c r="W29" s="28" t="s">
        <v>6</v>
      </c>
      <c r="X29" s="28" t="s">
        <v>6</v>
      </c>
      <c r="Y29" s="158">
        <v>3</v>
      </c>
      <c r="Z29" s="17"/>
      <c r="AA29" s="173">
        <f>P29/SUM($P$9:$P$70)</f>
        <v>1.7467248908296942E-2</v>
      </c>
      <c r="AB29" s="174">
        <f>Master_Data[[#This Row],[Imp. Level]]/SUMIF(Master_Data[Subject],Master_Data[[#This Row],[Subject]],Master_Data[Imp. Level])</f>
        <v>6.7796610169491525E-2</v>
      </c>
      <c r="AC29" s="157">
        <f>Master_Data[[#This Row],[Subjectwise weights]]*Master_Data[[#This Row],[Confidence Level]]</f>
        <v>0.20338983050847459</v>
      </c>
      <c r="AD29" s="273" t="str">
        <f>Master_Data[[#This Row],[Prac. Book]]</f>
        <v>U</v>
      </c>
      <c r="AE29" s="273" t="str">
        <f>Master_Data[[#This Row],[GARP EOC Ques.]]</f>
        <v>U</v>
      </c>
    </row>
    <row r="30" spans="2:66" ht="27" customHeight="1">
      <c r="B30" s="3">
        <v>22</v>
      </c>
      <c r="C30" s="182" t="str">
        <f ca="1">IF(Master_Data[[#This Row],[Column1]]=0,"",IF(Master_Data[[#This Row],[Column1]]=1,"Current Week",CONCATENATE("Week ",Master_Data[[#This Row],[Column1]])))</f>
        <v>Week 10</v>
      </c>
      <c r="D30" s="3">
        <f ca="1">ROUNDUP(Master_Data[[#This Row],[Column2]]/Working!$C$8,0)</f>
        <v>10</v>
      </c>
      <c r="E30" s="15">
        <f>SUM($F$9:F30)</f>
        <v>1.6106134259259259</v>
      </c>
      <c r="F30" s="27">
        <f>IF(Master_Data[[#This Row],[Lectures]]="D","",Master_Data[[#This Row],[Duration (hh:mm)]])</f>
        <v>0.12568287037037038</v>
      </c>
      <c r="G30" s="2" t="s">
        <v>160</v>
      </c>
      <c r="H30" s="2">
        <v>11</v>
      </c>
      <c r="I30" s="2" t="s">
        <v>96</v>
      </c>
      <c r="J30" s="45" t="s">
        <v>168</v>
      </c>
      <c r="K30" s="16">
        <v>10</v>
      </c>
      <c r="L30" s="44">
        <v>4</v>
      </c>
      <c r="M30" s="44">
        <v>3</v>
      </c>
      <c r="N30" s="44">
        <v>4</v>
      </c>
      <c r="O30" s="44">
        <v>4</v>
      </c>
      <c r="P30" s="44">
        <v>3</v>
      </c>
      <c r="Q30" s="44">
        <v>3</v>
      </c>
      <c r="R30" s="13">
        <v>0.12568287037037038</v>
      </c>
      <c r="S30" s="43">
        <f>(SUM($R$9:R30)/$R$4)*100</f>
        <v>20.302323817082559</v>
      </c>
      <c r="T30" s="28" t="s">
        <v>6</v>
      </c>
      <c r="U30" s="28" t="s">
        <v>6</v>
      </c>
      <c r="V30" s="28" t="s">
        <v>6</v>
      </c>
      <c r="W30" s="28" t="s">
        <v>6</v>
      </c>
      <c r="X30" s="28" t="s">
        <v>6</v>
      </c>
      <c r="Y30" s="158">
        <v>2</v>
      </c>
      <c r="Z30" s="17"/>
      <c r="AA30" s="173">
        <f>P30/SUM($P$9:$P$70)</f>
        <v>1.3100436681222707E-2</v>
      </c>
      <c r="AB30" s="174">
        <f>Master_Data[[#This Row],[Imp. Level]]/SUMIF(Master_Data[Subject],Master_Data[[#This Row],[Subject]],Master_Data[Imp. Level])</f>
        <v>5.0847457627118647E-2</v>
      </c>
      <c r="AC30" s="157">
        <f>Master_Data[[#This Row],[Subjectwise weights]]*Master_Data[[#This Row],[Confidence Level]]</f>
        <v>0.10169491525423729</v>
      </c>
      <c r="AD30" s="273" t="str">
        <f>Master_Data[[#This Row],[Prac. Book]]</f>
        <v>U</v>
      </c>
      <c r="AE30" s="273" t="str">
        <f>Master_Data[[#This Row],[GARP EOC Ques.]]</f>
        <v>U</v>
      </c>
    </row>
    <row r="31" spans="2:66" ht="27" customHeight="1">
      <c r="B31" s="3">
        <v>23</v>
      </c>
      <c r="C31" s="182" t="str">
        <f ca="1">IF(Master_Data[[#This Row],[Column1]]=0,"",IF(Master_Data[[#This Row],[Column1]]=1,"Current Week",CONCATENATE("Week ",Master_Data[[#This Row],[Column1]])))</f>
        <v>Week 11</v>
      </c>
      <c r="D31" s="3">
        <f ca="1">ROUNDUP(Master_Data[[#This Row],[Column2]]/Working!$C$8,0)</f>
        <v>11</v>
      </c>
      <c r="E31" s="15">
        <f>SUM($F$9:F31)</f>
        <v>1.668113425925926</v>
      </c>
      <c r="F31" s="27">
        <f>IF(Master_Data[[#This Row],[Lectures]]="D","",Master_Data[[#This Row],[Duration (hh:mm)]])</f>
        <v>5.7499999999999996E-2</v>
      </c>
      <c r="G31" s="2" t="s">
        <v>160</v>
      </c>
      <c r="H31" s="2">
        <v>12</v>
      </c>
      <c r="I31" s="2" t="s">
        <v>96</v>
      </c>
      <c r="J31" s="45" t="s">
        <v>169</v>
      </c>
      <c r="K31" s="16">
        <v>5</v>
      </c>
      <c r="L31" s="44">
        <v>3</v>
      </c>
      <c r="M31" s="44">
        <v>4</v>
      </c>
      <c r="N31" s="44">
        <v>4</v>
      </c>
      <c r="O31" s="44">
        <v>4</v>
      </c>
      <c r="P31" s="44">
        <v>3</v>
      </c>
      <c r="Q31" s="44">
        <v>4</v>
      </c>
      <c r="R31" s="13">
        <v>5.7499999999999996E-2</v>
      </c>
      <c r="S31" s="43">
        <f>(SUM($R$9:R31)/$R$4)*100</f>
        <v>21.027130651975998</v>
      </c>
      <c r="T31" s="28" t="s">
        <v>6</v>
      </c>
      <c r="U31" s="28" t="s">
        <v>6</v>
      </c>
      <c r="V31" s="28" t="s">
        <v>6</v>
      </c>
      <c r="W31" s="28" t="s">
        <v>6</v>
      </c>
      <c r="X31" s="28" t="s">
        <v>6</v>
      </c>
      <c r="Y31" s="158">
        <v>3</v>
      </c>
      <c r="Z31" s="17"/>
      <c r="AA31" s="173">
        <f>P31/SUM($P$9:$P$70)</f>
        <v>1.3100436681222707E-2</v>
      </c>
      <c r="AB31" s="174">
        <f>Master_Data[[#This Row],[Imp. Level]]/SUMIF(Master_Data[Subject],Master_Data[[#This Row],[Subject]],Master_Data[Imp. Level])</f>
        <v>5.0847457627118647E-2</v>
      </c>
      <c r="AC31" s="157">
        <f>Master_Data[[#This Row],[Subjectwise weights]]*Master_Data[[#This Row],[Confidence Level]]</f>
        <v>0.15254237288135594</v>
      </c>
      <c r="AD31" s="273" t="str">
        <f>Master_Data[[#This Row],[Prac. Book]]</f>
        <v>U</v>
      </c>
      <c r="AE31" s="273" t="str">
        <f>Master_Data[[#This Row],[GARP EOC Ques.]]</f>
        <v>U</v>
      </c>
    </row>
    <row r="32" spans="2:66" ht="27" customHeight="1">
      <c r="B32" s="3">
        <v>24</v>
      </c>
      <c r="C32" s="182" t="str">
        <f ca="1">IF(Master_Data[[#This Row],[Column1]]=0,"",IF(Master_Data[[#This Row],[Column1]]=1,"Current Week",CONCATENATE("Week ",Master_Data[[#This Row],[Column1]])))</f>
        <v>Week 11</v>
      </c>
      <c r="D32" s="3">
        <f ca="1">ROUNDUP(Master_Data[[#This Row],[Column2]]/Working!$C$8,0)</f>
        <v>11</v>
      </c>
      <c r="E32" s="15">
        <f>SUM($F$9:F32)</f>
        <v>1.8106250000000002</v>
      </c>
      <c r="F32" s="27">
        <f>IF(Master_Data[[#This Row],[Lectures]]="D","",Master_Data[[#This Row],[Duration (hh:mm)]])</f>
        <v>0.14251157407407408</v>
      </c>
      <c r="G32" s="2" t="s">
        <v>160</v>
      </c>
      <c r="H32" s="2">
        <v>13</v>
      </c>
      <c r="I32" s="2" t="s">
        <v>96</v>
      </c>
      <c r="J32" s="45" t="s">
        <v>237</v>
      </c>
      <c r="K32" s="16">
        <v>8</v>
      </c>
      <c r="L32" s="44">
        <v>4</v>
      </c>
      <c r="M32" s="44">
        <v>3</v>
      </c>
      <c r="N32" s="44">
        <v>4</v>
      </c>
      <c r="O32" s="44">
        <v>4</v>
      </c>
      <c r="P32" s="44">
        <v>4</v>
      </c>
      <c r="Q32" s="44">
        <v>3</v>
      </c>
      <c r="R32" s="13">
        <v>0.14251157407407408</v>
      </c>
      <c r="S32" s="43">
        <f>(SUM($R$9:R32)/$R$4)*100</f>
        <v>22.823536963981415</v>
      </c>
      <c r="T32" s="28" t="s">
        <v>6</v>
      </c>
      <c r="U32" s="28" t="s">
        <v>6</v>
      </c>
      <c r="V32" s="28" t="s">
        <v>6</v>
      </c>
      <c r="W32" s="28" t="s">
        <v>6</v>
      </c>
      <c r="X32" s="28" t="s">
        <v>6</v>
      </c>
      <c r="Y32" s="158">
        <v>2</v>
      </c>
      <c r="Z32" s="17"/>
      <c r="AA32" s="173">
        <f>P32/SUM($P$9:$P$70)</f>
        <v>1.7467248908296942E-2</v>
      </c>
      <c r="AB32" s="174">
        <f>Master_Data[[#This Row],[Imp. Level]]/SUMIF(Master_Data[Subject],Master_Data[[#This Row],[Subject]],Master_Data[Imp. Level])</f>
        <v>6.7796610169491525E-2</v>
      </c>
      <c r="AC32" s="157">
        <f>Master_Data[[#This Row],[Subjectwise weights]]*Master_Data[[#This Row],[Confidence Level]]</f>
        <v>0.13559322033898305</v>
      </c>
      <c r="AD32" s="273" t="str">
        <f>Master_Data[[#This Row],[Prac. Book]]</f>
        <v>U</v>
      </c>
      <c r="AE32" s="273" t="str">
        <f>Master_Data[[#This Row],[GARP EOC Ques.]]</f>
        <v>U</v>
      </c>
    </row>
    <row r="33" spans="2:31" ht="27" customHeight="1">
      <c r="B33" s="3">
        <v>25</v>
      </c>
      <c r="C33" s="182" t="str">
        <f ca="1">IF(Master_Data[[#This Row],[Column1]]=0,"",IF(Master_Data[[#This Row],[Column1]]=1,"Current Week",CONCATENATE("Week ",Master_Data[[#This Row],[Column1]])))</f>
        <v>Week 12</v>
      </c>
      <c r="D33" s="3">
        <f ca="1">ROUNDUP(Master_Data[[#This Row],[Column2]]/Working!$C$8,0)</f>
        <v>12</v>
      </c>
      <c r="E33" s="15">
        <f>SUM($F$9:F33)</f>
        <v>1.8632175925925927</v>
      </c>
      <c r="F33" s="27">
        <f>IF(Master_Data[[#This Row],[Lectures]]="D","",Master_Data[[#This Row],[Duration (hh:mm)]])</f>
        <v>5.2592592592592587E-2</v>
      </c>
      <c r="G33" s="2" t="s">
        <v>160</v>
      </c>
      <c r="H33" s="2">
        <v>14</v>
      </c>
      <c r="I33" s="2" t="s">
        <v>96</v>
      </c>
      <c r="J33" s="45" t="s">
        <v>238</v>
      </c>
      <c r="K33" s="16">
        <v>6</v>
      </c>
      <c r="L33" s="44">
        <v>3</v>
      </c>
      <c r="M33" s="44">
        <v>3</v>
      </c>
      <c r="N33" s="44">
        <v>4</v>
      </c>
      <c r="O33" s="44">
        <v>5</v>
      </c>
      <c r="P33" s="44">
        <v>4</v>
      </c>
      <c r="Q33" s="44">
        <v>3</v>
      </c>
      <c r="R33" s="12">
        <v>5.2592592592592587E-2</v>
      </c>
      <c r="S33" s="43">
        <f>(SUM($R$9:R33)/$R$4)*100</f>
        <v>23.486484278344495</v>
      </c>
      <c r="T33" s="28" t="s">
        <v>6</v>
      </c>
      <c r="U33" s="28" t="s">
        <v>6</v>
      </c>
      <c r="V33" s="28" t="s">
        <v>6</v>
      </c>
      <c r="W33" s="28" t="s">
        <v>6</v>
      </c>
      <c r="X33" s="28" t="s">
        <v>6</v>
      </c>
      <c r="Y33" s="158">
        <v>2</v>
      </c>
      <c r="Z33" s="17"/>
      <c r="AA33" s="173">
        <f>P33/SUM($P$9:$P$111)</f>
        <v>1.1235955056179775E-2</v>
      </c>
      <c r="AB33" s="174">
        <f>Master_Data[[#This Row],[Imp. Level]]/SUMIF(Master_Data[Subject],Master_Data[[#This Row],[Subject]],Master_Data[Imp. Level])</f>
        <v>6.7796610169491525E-2</v>
      </c>
      <c r="AC33" s="157">
        <f>Master_Data[[#This Row],[Subjectwise weights]]*Master_Data[[#This Row],[Confidence Level]]</f>
        <v>0.13559322033898305</v>
      </c>
      <c r="AD33" s="273" t="str">
        <f>Master_Data[[#This Row],[Prac. Book]]</f>
        <v>U</v>
      </c>
      <c r="AE33" s="273" t="str">
        <f>Master_Data[[#This Row],[GARP EOC Ques.]]</f>
        <v>U</v>
      </c>
    </row>
    <row r="34" spans="2:31" ht="27" customHeight="1">
      <c r="B34" s="3">
        <v>26</v>
      </c>
      <c r="C34" s="182" t="str">
        <f ca="1">IF(Master_Data[[#This Row],[Column1]]=0,"",IF(Master_Data[[#This Row],[Column1]]=1,"Current Week",CONCATENATE("Week ",Master_Data[[#This Row],[Column1]])))</f>
        <v>Week 12</v>
      </c>
      <c r="D34" s="3">
        <f ca="1">ROUNDUP(Master_Data[[#This Row],[Column2]]/Working!$C$8,0)</f>
        <v>12</v>
      </c>
      <c r="E34" s="15">
        <f>SUM($F$9:F34)</f>
        <v>1.9486342592592594</v>
      </c>
      <c r="F34" s="27">
        <f>IF(Master_Data[[#This Row],[Lectures]]="D","",Master_Data[[#This Row],[Duration (hh:mm)]])</f>
        <v>8.5416666666666669E-2</v>
      </c>
      <c r="G34" s="2" t="s">
        <v>174</v>
      </c>
      <c r="H34" s="2">
        <v>17</v>
      </c>
      <c r="I34" s="2" t="s">
        <v>97</v>
      </c>
      <c r="J34" s="45" t="s">
        <v>239</v>
      </c>
      <c r="K34" s="16">
        <v>5</v>
      </c>
      <c r="L34" s="44">
        <v>3</v>
      </c>
      <c r="M34" s="44">
        <v>1</v>
      </c>
      <c r="N34" s="44">
        <v>1</v>
      </c>
      <c r="O34" s="44">
        <v>1</v>
      </c>
      <c r="P34" s="44">
        <v>2</v>
      </c>
      <c r="Q34" s="44">
        <v>2</v>
      </c>
      <c r="R34" s="13">
        <v>8.5416666666666669E-2</v>
      </c>
      <c r="S34" s="43">
        <f>(SUM($R$9:R34)/$R$4)*100</f>
        <v>24.563190083802137</v>
      </c>
      <c r="T34" s="28" t="s">
        <v>6</v>
      </c>
      <c r="U34" s="28" t="s">
        <v>6</v>
      </c>
      <c r="V34" s="28" t="s">
        <v>6</v>
      </c>
      <c r="W34" s="28" t="s">
        <v>6</v>
      </c>
      <c r="X34" s="28" t="s">
        <v>6</v>
      </c>
      <c r="Y34" s="158">
        <v>3</v>
      </c>
      <c r="Z34" s="17"/>
      <c r="AA34" s="173">
        <f>P34/SUM($P$9:$P$70)</f>
        <v>8.7336244541484712E-3</v>
      </c>
      <c r="AB34" s="174">
        <f>Master_Data[[#This Row],[Imp. Level]]/SUMIF(Master_Data[Subject],Master_Data[[#This Row],[Subject]],Master_Data[Imp. Level])</f>
        <v>2.247191011235955E-2</v>
      </c>
      <c r="AC34" s="157">
        <f>Master_Data[[#This Row],[Subjectwise weights]]*Master_Data[[#This Row],[Confidence Level]]</f>
        <v>6.741573033707865E-2</v>
      </c>
      <c r="AD34" s="273" t="str">
        <f>Master_Data[[#This Row],[Prac. Book]]</f>
        <v>U</v>
      </c>
      <c r="AE34" s="273" t="str">
        <f>Master_Data[[#This Row],[GARP EOC Ques.]]</f>
        <v>U</v>
      </c>
    </row>
    <row r="35" spans="2:31" ht="27" customHeight="1">
      <c r="B35" s="3">
        <v>27</v>
      </c>
      <c r="C35" s="182" t="str">
        <f ca="1">IF(Master_Data[[#This Row],[Column1]]=0,"",IF(Master_Data[[#This Row],[Column1]]=1,"Current Week",CONCATENATE("Week ",Master_Data[[#This Row],[Column1]])))</f>
        <v>Week 13</v>
      </c>
      <c r="D35" s="3">
        <f ca="1">ROUNDUP(Master_Data[[#This Row],[Column2]]/Working!$C$8,0)</f>
        <v>13</v>
      </c>
      <c r="E35" s="15">
        <f>SUM($F$9:F35)</f>
        <v>2.0326620370370372</v>
      </c>
      <c r="F35" s="27">
        <f>IF(Master_Data[[#This Row],[Lectures]]="D","",Master_Data[[#This Row],[Duration (hh:mm)]])</f>
        <v>8.4027777777777785E-2</v>
      </c>
      <c r="G35" s="2" t="s">
        <v>174</v>
      </c>
      <c r="H35" s="2">
        <v>18</v>
      </c>
      <c r="I35" s="2" t="s">
        <v>97</v>
      </c>
      <c r="J35" s="45" t="s">
        <v>240</v>
      </c>
      <c r="K35" s="16">
        <v>5</v>
      </c>
      <c r="L35" s="44">
        <v>3</v>
      </c>
      <c r="M35" s="44">
        <v>1</v>
      </c>
      <c r="N35" s="44">
        <v>1</v>
      </c>
      <c r="O35" s="44">
        <v>1</v>
      </c>
      <c r="P35" s="44">
        <v>2</v>
      </c>
      <c r="Q35" s="44">
        <v>2</v>
      </c>
      <c r="R35" s="13">
        <v>8.4027777777777785E-2</v>
      </c>
      <c r="S35" s="43">
        <f>(SUM($R$9:R35)/$R$4)*100</f>
        <v>25.622388477788927</v>
      </c>
      <c r="T35" s="28" t="s">
        <v>6</v>
      </c>
      <c r="U35" s="28" t="s">
        <v>6</v>
      </c>
      <c r="V35" s="28" t="s">
        <v>6</v>
      </c>
      <c r="W35" s="28" t="s">
        <v>6</v>
      </c>
      <c r="X35" s="28" t="s">
        <v>6</v>
      </c>
      <c r="Y35" s="158">
        <v>2</v>
      </c>
      <c r="Z35" s="17"/>
      <c r="AA35" s="173">
        <f>P35/SUM($P$9:$P$70)</f>
        <v>8.7336244541484712E-3</v>
      </c>
      <c r="AB35" s="174">
        <f>Master_Data[[#This Row],[Imp. Level]]/SUMIF(Master_Data[Subject],Master_Data[[#This Row],[Subject]],Master_Data[Imp. Level])</f>
        <v>2.247191011235955E-2</v>
      </c>
      <c r="AC35" s="157">
        <f>Master_Data[[#This Row],[Subjectwise weights]]*Master_Data[[#This Row],[Confidence Level]]</f>
        <v>4.49438202247191E-2</v>
      </c>
      <c r="AD35" s="273" t="str">
        <f>Master_Data[[#This Row],[Prac. Book]]</f>
        <v>U</v>
      </c>
      <c r="AE35" s="273" t="str">
        <f>Master_Data[[#This Row],[GARP EOC Ques.]]</f>
        <v>U</v>
      </c>
    </row>
    <row r="36" spans="2:31" ht="27" customHeight="1">
      <c r="B36" s="3">
        <v>28</v>
      </c>
      <c r="C36" s="182" t="str">
        <f ca="1">IF(Master_Data[[#This Row],[Column1]]=0,"",IF(Master_Data[[#This Row],[Column1]]=1,"Current Week",CONCATENATE("Week ",Master_Data[[#This Row],[Column1]])))</f>
        <v>Week 13</v>
      </c>
      <c r="D36" s="3">
        <f ca="1">ROUNDUP(Master_Data[[#This Row],[Column2]]/Working!$C$8,0)</f>
        <v>13</v>
      </c>
      <c r="E36" s="15">
        <f>SUM($F$9:F36)</f>
        <v>2.135601851851852</v>
      </c>
      <c r="F36" s="27">
        <f>IF(Master_Data[[#This Row],[Lectures]]="D","",Master_Data[[#This Row],[Duration (hh:mm)]])</f>
        <v>0.1029398148148148</v>
      </c>
      <c r="G36" s="2" t="s">
        <v>160</v>
      </c>
      <c r="H36" s="2">
        <v>15</v>
      </c>
      <c r="I36" s="2" t="s">
        <v>96</v>
      </c>
      <c r="J36" s="45" t="s">
        <v>172</v>
      </c>
      <c r="K36" s="16">
        <v>9</v>
      </c>
      <c r="L36" s="44">
        <v>3</v>
      </c>
      <c r="M36" s="44">
        <v>1</v>
      </c>
      <c r="N36" s="44">
        <v>4</v>
      </c>
      <c r="O36" s="44">
        <v>5</v>
      </c>
      <c r="P36" s="44">
        <v>5</v>
      </c>
      <c r="Q36" s="44">
        <v>4</v>
      </c>
      <c r="R36" s="13">
        <v>0.1029398148148148</v>
      </c>
      <c r="S36" s="43">
        <f>(SUM($R$9:R36)/$R$4)*100</f>
        <v>26.919979457970534</v>
      </c>
      <c r="T36" s="28" t="s">
        <v>6</v>
      </c>
      <c r="U36" s="28" t="s">
        <v>6</v>
      </c>
      <c r="V36" s="28" t="s">
        <v>6</v>
      </c>
      <c r="W36" s="28" t="s">
        <v>6</v>
      </c>
      <c r="X36" s="28" t="s">
        <v>6</v>
      </c>
      <c r="Y36" s="158">
        <v>2</v>
      </c>
      <c r="Z36" s="17"/>
      <c r="AA36" s="173">
        <f>P36/SUM($P$9:$P$111)</f>
        <v>1.4044943820224719E-2</v>
      </c>
      <c r="AB36" s="174">
        <f>Master_Data[[#This Row],[Imp. Level]]/SUMIF(Master_Data[Subject],Master_Data[[#This Row],[Subject]],Master_Data[Imp. Level])</f>
        <v>8.4745762711864403E-2</v>
      </c>
      <c r="AC36" s="157">
        <f>Master_Data[[#This Row],[Subjectwise weights]]*Master_Data[[#This Row],[Confidence Level]]</f>
        <v>0.16949152542372881</v>
      </c>
      <c r="AD36" s="273" t="str">
        <f>Master_Data[[#This Row],[Prac. Book]]</f>
        <v>U</v>
      </c>
      <c r="AE36" s="273" t="str">
        <f>Master_Data[[#This Row],[GARP EOC Ques.]]</f>
        <v>U</v>
      </c>
    </row>
    <row r="37" spans="2:31" ht="27" customHeight="1">
      <c r="B37" s="3">
        <v>29</v>
      </c>
      <c r="C37" s="182" t="str">
        <f ca="1">IF(Master_Data[[#This Row],[Column1]]=0,"",IF(Master_Data[[#This Row],[Column1]]=1,"Current Week",CONCATENATE("Week ",Master_Data[[#This Row],[Column1]])))</f>
        <v>Week 14</v>
      </c>
      <c r="D37" s="3">
        <f ca="1">ROUNDUP(Master_Data[[#This Row],[Column2]]/Working!$C$8,0)</f>
        <v>14</v>
      </c>
      <c r="E37" s="15">
        <f>SUM($F$9:F37)</f>
        <v>2.1770486111111111</v>
      </c>
      <c r="F37" s="27">
        <f>IF(Master_Data[[#This Row],[Lectures]]="D","",Master_Data[[#This Row],[Duration (hh:mm)]])</f>
        <v>4.144675925925926E-2</v>
      </c>
      <c r="G37" s="2" t="s">
        <v>160</v>
      </c>
      <c r="H37" s="2">
        <v>16</v>
      </c>
      <c r="I37" s="2" t="s">
        <v>96</v>
      </c>
      <c r="J37" s="45" t="s">
        <v>173</v>
      </c>
      <c r="K37" s="16">
        <v>3</v>
      </c>
      <c r="L37" s="44">
        <v>2</v>
      </c>
      <c r="M37" s="44">
        <v>1</v>
      </c>
      <c r="N37" s="44">
        <v>3</v>
      </c>
      <c r="O37" s="44">
        <v>4</v>
      </c>
      <c r="P37" s="44">
        <v>4</v>
      </c>
      <c r="Q37" s="44">
        <v>3</v>
      </c>
      <c r="R37" s="12">
        <v>4.144675925925926E-2</v>
      </c>
      <c r="S37" s="43">
        <f>(SUM($R$9:R37)/$R$4)*100</f>
        <v>27.442429795279992</v>
      </c>
      <c r="T37" s="28" t="s">
        <v>6</v>
      </c>
      <c r="U37" s="28" t="s">
        <v>6</v>
      </c>
      <c r="V37" s="28" t="s">
        <v>6</v>
      </c>
      <c r="W37" s="28" t="s">
        <v>6</v>
      </c>
      <c r="X37" s="28" t="s">
        <v>6</v>
      </c>
      <c r="Y37" s="158">
        <v>3</v>
      </c>
      <c r="Z37" s="17"/>
      <c r="AA37" s="173">
        <f t="shared" ref="AA37:AA44" si="1">P37/SUM($P$9:$P$70)</f>
        <v>1.7467248908296942E-2</v>
      </c>
      <c r="AB37" s="174">
        <f>Master_Data[[#This Row],[Imp. Level]]/SUMIF(Master_Data[Subject],Master_Data[[#This Row],[Subject]],Master_Data[Imp. Level])</f>
        <v>6.7796610169491525E-2</v>
      </c>
      <c r="AC37" s="157">
        <f>Master_Data[[#This Row],[Subjectwise weights]]*Master_Data[[#This Row],[Confidence Level]]</f>
        <v>0.20338983050847459</v>
      </c>
      <c r="AD37" s="273" t="str">
        <f>Master_Data[[#This Row],[Prac. Book]]</f>
        <v>U</v>
      </c>
      <c r="AE37" s="273" t="str">
        <f>Master_Data[[#This Row],[GARP EOC Ques.]]</f>
        <v>U</v>
      </c>
    </row>
    <row r="38" spans="2:31" ht="27" customHeight="1">
      <c r="B38" s="3">
        <v>30</v>
      </c>
      <c r="C38" s="182" t="str">
        <f ca="1">IF(Master_Data[[#This Row],[Column1]]=0,"",IF(Master_Data[[#This Row],[Column1]]=1,"Current Week",CONCATENATE("Week ",Master_Data[[#This Row],[Column1]])))</f>
        <v>Week 14</v>
      </c>
      <c r="D38" s="3">
        <f ca="1">ROUNDUP(Master_Data[[#This Row],[Column2]]/Working!$C$8,0)</f>
        <v>14</v>
      </c>
      <c r="E38" s="15">
        <f>SUM($F$9:F38)</f>
        <v>2.2573842592592595</v>
      </c>
      <c r="F38" s="27">
        <f>IF(Master_Data[[#This Row],[Lectures]]="D","",Master_Data[[#This Row],[Duration (hh:mm)]])</f>
        <v>8.0335648148148142E-2</v>
      </c>
      <c r="G38" s="2" t="s">
        <v>174</v>
      </c>
      <c r="H38" s="2">
        <v>20</v>
      </c>
      <c r="I38" s="2" t="s">
        <v>95</v>
      </c>
      <c r="J38" s="45" t="s">
        <v>175</v>
      </c>
      <c r="K38" s="16">
        <v>9</v>
      </c>
      <c r="L38" s="44">
        <v>3</v>
      </c>
      <c r="M38" s="44">
        <v>4</v>
      </c>
      <c r="N38" s="44">
        <v>3</v>
      </c>
      <c r="O38" s="44">
        <v>3</v>
      </c>
      <c r="P38" s="44">
        <v>5</v>
      </c>
      <c r="Q38" s="44">
        <v>4</v>
      </c>
      <c r="R38" s="13">
        <v>8.0335648148148142E-2</v>
      </c>
      <c r="S38" s="43">
        <f>(SUM($R$9:R38)/$R$4)*100</f>
        <v>28.455087653773425</v>
      </c>
      <c r="T38" s="28" t="s">
        <v>6</v>
      </c>
      <c r="U38" s="28" t="s">
        <v>6</v>
      </c>
      <c r="V38" s="28" t="s">
        <v>6</v>
      </c>
      <c r="W38" s="28" t="s">
        <v>6</v>
      </c>
      <c r="X38" s="28" t="s">
        <v>6</v>
      </c>
      <c r="Y38" s="158">
        <v>2</v>
      </c>
      <c r="Z38" s="17"/>
      <c r="AA38" s="173">
        <f t="shared" si="1"/>
        <v>2.1834061135371178E-2</v>
      </c>
      <c r="AB38" s="174">
        <f>Master_Data[[#This Row],[Imp. Level]]/SUMIF(Master_Data[Subject],Master_Data[[#This Row],[Subject]],Master_Data[Imp. Level])</f>
        <v>5.6179775280898875E-2</v>
      </c>
      <c r="AC38" s="157">
        <f>Master_Data[[#This Row],[Subjectwise weights]]*Master_Data[[#This Row],[Confidence Level]]</f>
        <v>0.11235955056179775</v>
      </c>
      <c r="AD38" s="273" t="str">
        <f>Master_Data[[#This Row],[Prac. Book]]</f>
        <v>U</v>
      </c>
      <c r="AE38" s="273" t="str">
        <f>Master_Data[[#This Row],[GARP EOC Ques.]]</f>
        <v>U</v>
      </c>
    </row>
    <row r="39" spans="2:31" ht="27" customHeight="1">
      <c r="B39" s="3">
        <v>31</v>
      </c>
      <c r="C39" s="182" t="str">
        <f ca="1">IF(Master_Data[[#This Row],[Column1]]=0,"",IF(Master_Data[[#This Row],[Column1]]=1,"Current Week",CONCATENATE("Week ",Master_Data[[#This Row],[Column1]])))</f>
        <v>Week 15</v>
      </c>
      <c r="D39" s="3">
        <f ca="1">ROUNDUP(Master_Data[[#This Row],[Column2]]/Working!$C$8,0)</f>
        <v>15</v>
      </c>
      <c r="E39" s="15">
        <f>SUM($F$9:F39)</f>
        <v>2.4205787037037041</v>
      </c>
      <c r="F39" s="27">
        <f>IF(Master_Data[[#This Row],[Lectures]]="D","",Master_Data[[#This Row],[Duration (hh:mm)]])</f>
        <v>0.16319444444444445</v>
      </c>
      <c r="G39" s="2" t="s">
        <v>174</v>
      </c>
      <c r="H39" s="2">
        <v>25</v>
      </c>
      <c r="I39" s="2" t="s">
        <v>97</v>
      </c>
      <c r="J39" s="45" t="s">
        <v>241</v>
      </c>
      <c r="K39" s="16">
        <v>14</v>
      </c>
      <c r="L39" s="44">
        <v>3</v>
      </c>
      <c r="M39" s="44">
        <v>4</v>
      </c>
      <c r="N39" s="44">
        <v>3</v>
      </c>
      <c r="O39" s="44">
        <v>3</v>
      </c>
      <c r="P39" s="44">
        <v>5</v>
      </c>
      <c r="Q39" s="44">
        <v>4</v>
      </c>
      <c r="R39" s="13">
        <v>0.16319444444444445</v>
      </c>
      <c r="S39" s="43">
        <f>(SUM($R$9:R39)/$R$4)*100</f>
        <v>30.512208501599002</v>
      </c>
      <c r="T39" s="28" t="s">
        <v>6</v>
      </c>
      <c r="U39" s="28" t="s">
        <v>6</v>
      </c>
      <c r="V39" s="28" t="s">
        <v>6</v>
      </c>
      <c r="W39" s="28" t="s">
        <v>6</v>
      </c>
      <c r="X39" s="28" t="s">
        <v>6</v>
      </c>
      <c r="Y39" s="158">
        <v>3</v>
      </c>
      <c r="Z39" s="17"/>
      <c r="AA39" s="173">
        <f t="shared" si="1"/>
        <v>2.1834061135371178E-2</v>
      </c>
      <c r="AB39" s="174">
        <f>Master_Data[[#This Row],[Imp. Level]]/SUMIF(Master_Data[Subject],Master_Data[[#This Row],[Subject]],Master_Data[Imp. Level])</f>
        <v>5.6179775280898875E-2</v>
      </c>
      <c r="AC39" s="157">
        <f>Master_Data[[#This Row],[Subjectwise weights]]*Master_Data[[#This Row],[Confidence Level]]</f>
        <v>0.16853932584269662</v>
      </c>
      <c r="AD39" s="273" t="str">
        <f>Master_Data[[#This Row],[Prac. Book]]</f>
        <v>U</v>
      </c>
      <c r="AE39" s="273" t="str">
        <f>Master_Data[[#This Row],[GARP EOC Ques.]]</f>
        <v>U</v>
      </c>
    </row>
    <row r="40" spans="2:31" ht="27" customHeight="1">
      <c r="B40" s="3">
        <v>32</v>
      </c>
      <c r="C40" s="182" t="str">
        <f ca="1">IF(Master_Data[[#This Row],[Column1]]=0,"",IF(Master_Data[[#This Row],[Column1]]=1,"Current Week",CONCATENATE("Week ",Master_Data[[#This Row],[Column1]])))</f>
        <v>Week 16</v>
      </c>
      <c r="D40" s="3">
        <f ca="1">ROUNDUP(Master_Data[[#This Row],[Column2]]/Working!$C$8,0)</f>
        <v>16</v>
      </c>
      <c r="E40" s="15">
        <f>SUM($F$9:F40)</f>
        <v>2.5143287037037041</v>
      </c>
      <c r="F40" s="27">
        <f>IF(Master_Data[[#This Row],[Lectures]]="D","",Master_Data[[#This Row],[Duration (hh:mm)]])</f>
        <v>9.375E-2</v>
      </c>
      <c r="G40" s="2" t="s">
        <v>174</v>
      </c>
      <c r="H40" s="2">
        <v>26</v>
      </c>
      <c r="I40" s="2" t="s">
        <v>97</v>
      </c>
      <c r="J40" s="45" t="s">
        <v>242</v>
      </c>
      <c r="K40" s="16">
        <v>6</v>
      </c>
      <c r="L40" s="44">
        <v>3</v>
      </c>
      <c r="M40" s="44">
        <v>4</v>
      </c>
      <c r="N40" s="44">
        <v>3</v>
      </c>
      <c r="O40" s="44">
        <v>3</v>
      </c>
      <c r="P40" s="44">
        <v>5</v>
      </c>
      <c r="Q40" s="44">
        <v>4</v>
      </c>
      <c r="R40" s="12">
        <v>9.375E-2</v>
      </c>
      <c r="S40" s="43">
        <f>(SUM($R$9:R40)/$R$4)*100</f>
        <v>31.693958775881786</v>
      </c>
      <c r="T40" s="28" t="s">
        <v>6</v>
      </c>
      <c r="U40" s="28" t="s">
        <v>6</v>
      </c>
      <c r="V40" s="28" t="s">
        <v>6</v>
      </c>
      <c r="W40" s="28" t="s">
        <v>6</v>
      </c>
      <c r="X40" s="28" t="s">
        <v>6</v>
      </c>
      <c r="Y40" s="158">
        <v>3</v>
      </c>
      <c r="Z40" s="17"/>
      <c r="AA40" s="173">
        <f t="shared" si="1"/>
        <v>2.1834061135371178E-2</v>
      </c>
      <c r="AB40" s="174">
        <f>Master_Data[[#This Row],[Imp. Level]]/SUMIF(Master_Data[Subject],Master_Data[[#This Row],[Subject]],Master_Data[Imp. Level])</f>
        <v>5.6179775280898875E-2</v>
      </c>
      <c r="AC40" s="157">
        <f>Master_Data[[#This Row],[Subjectwise weights]]*Master_Data[[#This Row],[Confidence Level]]</f>
        <v>0.16853932584269662</v>
      </c>
      <c r="AD40" s="273" t="str">
        <f>Master_Data[[#This Row],[Prac. Book]]</f>
        <v>U</v>
      </c>
      <c r="AE40" s="273" t="str">
        <f>Master_Data[[#This Row],[GARP EOC Ques.]]</f>
        <v>U</v>
      </c>
    </row>
    <row r="41" spans="2:31" ht="27" customHeight="1">
      <c r="B41" s="3">
        <v>33</v>
      </c>
      <c r="C41" s="182" t="str">
        <f ca="1">IF(Master_Data[[#This Row],[Column1]]=0,"",IF(Master_Data[[#This Row],[Column1]]=1,"Current Week",CONCATENATE("Week ",Master_Data[[#This Row],[Column1]])))</f>
        <v>Week 16</v>
      </c>
      <c r="D41" s="3">
        <f ca="1">ROUNDUP(Master_Data[[#This Row],[Column2]]/Working!$C$8,0)</f>
        <v>16</v>
      </c>
      <c r="E41" s="15">
        <f>SUM($F$9:F41)</f>
        <v>2.5726620370370372</v>
      </c>
      <c r="F41" s="27">
        <f>IF(Master_Data[[#This Row],[Lectures]]="D","",Master_Data[[#This Row],[Duration (hh:mm)]])</f>
        <v>5.8333333333333334E-2</v>
      </c>
      <c r="G41" s="2" t="s">
        <v>174</v>
      </c>
      <c r="H41" s="2">
        <v>29</v>
      </c>
      <c r="I41" s="2" t="s">
        <v>97</v>
      </c>
      <c r="J41" s="272" t="s">
        <v>174</v>
      </c>
      <c r="K41" s="16">
        <v>7</v>
      </c>
      <c r="L41" s="44">
        <v>4</v>
      </c>
      <c r="M41" s="44">
        <v>3</v>
      </c>
      <c r="N41" s="44">
        <v>4</v>
      </c>
      <c r="O41" s="44">
        <v>5</v>
      </c>
      <c r="P41" s="44">
        <v>5</v>
      </c>
      <c r="Q41" s="44">
        <v>4</v>
      </c>
      <c r="R41" s="13">
        <v>5.8333333333333334E-2</v>
      </c>
      <c r="S41" s="43">
        <f>(SUM($R$9:R41)/$R$4)*100</f>
        <v>32.429270057657732</v>
      </c>
      <c r="T41" s="28" t="s">
        <v>6</v>
      </c>
      <c r="U41" s="28" t="s">
        <v>6</v>
      </c>
      <c r="V41" s="28" t="s">
        <v>6</v>
      </c>
      <c r="W41" s="28" t="s">
        <v>6</v>
      </c>
      <c r="X41" s="28" t="s">
        <v>6</v>
      </c>
      <c r="Y41" s="158">
        <v>2</v>
      </c>
      <c r="Z41" s="17"/>
      <c r="AA41" s="173">
        <f t="shared" si="1"/>
        <v>2.1834061135371178E-2</v>
      </c>
      <c r="AB41" s="174">
        <f>Master_Data[[#This Row],[Imp. Level]]/SUMIF(Master_Data[Subject],Master_Data[[#This Row],[Subject]],Master_Data[Imp. Level])</f>
        <v>5.6179775280898875E-2</v>
      </c>
      <c r="AC41" s="157">
        <f>Master_Data[[#This Row],[Subjectwise weights]]*Master_Data[[#This Row],[Confidence Level]]</f>
        <v>0.11235955056179775</v>
      </c>
      <c r="AD41" s="273" t="str">
        <f>Master_Data[[#This Row],[Prac. Book]]</f>
        <v>U</v>
      </c>
      <c r="AE41" s="273" t="str">
        <f>Master_Data[[#This Row],[GARP EOC Ques.]]</f>
        <v>U</v>
      </c>
    </row>
    <row r="42" spans="2:31" ht="27" customHeight="1">
      <c r="B42" s="3">
        <v>34</v>
      </c>
      <c r="C42" s="182" t="str">
        <f ca="1">IF(Master_Data[[#This Row],[Column1]]=0,"",IF(Master_Data[[#This Row],[Column1]]=1,"Current Week",CONCATENATE("Week ",Master_Data[[#This Row],[Column1]])))</f>
        <v>Week 17</v>
      </c>
      <c r="D42" s="3">
        <f ca="1">ROUNDUP(Master_Data[[#This Row],[Column2]]/Working!$C$8,0)</f>
        <v>17</v>
      </c>
      <c r="E42" s="15">
        <f>SUM($F$9:F42)</f>
        <v>2.7101620370370374</v>
      </c>
      <c r="F42" s="27">
        <f>IF(Master_Data[[#This Row],[Lectures]]="D","",Master_Data[[#This Row],[Duration (hh:mm)]])</f>
        <v>0.13750000000000001</v>
      </c>
      <c r="G42" s="2" t="s">
        <v>174</v>
      </c>
      <c r="H42" s="2">
        <v>30</v>
      </c>
      <c r="I42" s="2" t="s">
        <v>97</v>
      </c>
      <c r="J42" s="271" t="s">
        <v>243</v>
      </c>
      <c r="K42" s="16">
        <v>8</v>
      </c>
      <c r="L42" s="44">
        <v>4</v>
      </c>
      <c r="M42" s="44">
        <v>3</v>
      </c>
      <c r="N42" s="44">
        <v>4</v>
      </c>
      <c r="O42" s="44">
        <v>5</v>
      </c>
      <c r="P42" s="44">
        <v>5</v>
      </c>
      <c r="Q42" s="44">
        <v>4</v>
      </c>
      <c r="R42" s="13">
        <v>0.13750000000000001</v>
      </c>
      <c r="S42" s="43">
        <f>(SUM($R$9:R42)/$R$4)*100</f>
        <v>34.162503793272478</v>
      </c>
      <c r="T42" s="28" t="s">
        <v>6</v>
      </c>
      <c r="U42" s="28" t="s">
        <v>6</v>
      </c>
      <c r="V42" s="28" t="s">
        <v>6</v>
      </c>
      <c r="W42" s="28" t="s">
        <v>6</v>
      </c>
      <c r="X42" s="28" t="s">
        <v>6</v>
      </c>
      <c r="Y42" s="158">
        <v>2</v>
      </c>
      <c r="Z42" s="17"/>
      <c r="AA42" s="173">
        <f t="shared" si="1"/>
        <v>2.1834061135371178E-2</v>
      </c>
      <c r="AB42" s="174">
        <f>Master_Data[[#This Row],[Imp. Level]]/SUMIF(Master_Data[Subject],Master_Data[[#This Row],[Subject]],Master_Data[Imp. Level])</f>
        <v>5.6179775280898875E-2</v>
      </c>
      <c r="AC42" s="157">
        <f>Master_Data[[#This Row],[Subjectwise weights]]*Master_Data[[#This Row],[Confidence Level]]</f>
        <v>0.11235955056179775</v>
      </c>
      <c r="AD42" s="273" t="str">
        <f>Master_Data[[#This Row],[Prac. Book]]</f>
        <v>U</v>
      </c>
      <c r="AE42" s="273" t="str">
        <f>Master_Data[[#This Row],[GARP EOC Ques.]]</f>
        <v>U</v>
      </c>
    </row>
    <row r="43" spans="2:31" ht="27" customHeight="1">
      <c r="B43" s="3">
        <v>35</v>
      </c>
      <c r="C43" s="182" t="str">
        <f ca="1">IF(Master_Data[[#This Row],[Column1]]=0,"",IF(Master_Data[[#This Row],[Column1]]=1,"Current Week",CONCATENATE("Week ",Master_Data[[#This Row],[Column1]])))</f>
        <v>Week 17</v>
      </c>
      <c r="D43" s="3">
        <f ca="1">ROUNDUP(Master_Data[[#This Row],[Column2]]/Working!$C$8,0)</f>
        <v>17</v>
      </c>
      <c r="E43" s="15">
        <f>SUM($F$9:F43)</f>
        <v>2.784467592592593</v>
      </c>
      <c r="F43" s="27">
        <f>IF(Master_Data[[#This Row],[Lectures]]="D","",Master_Data[[#This Row],[Duration (hh:mm)]])</f>
        <v>7.4305555555555555E-2</v>
      </c>
      <c r="G43" s="2" t="s">
        <v>174</v>
      </c>
      <c r="H43" s="2">
        <v>31</v>
      </c>
      <c r="I43" s="2" t="s">
        <v>97</v>
      </c>
      <c r="J43" s="45" t="s">
        <v>244</v>
      </c>
      <c r="K43" s="16">
        <v>10</v>
      </c>
      <c r="L43" s="44">
        <v>4</v>
      </c>
      <c r="M43" s="44">
        <v>3</v>
      </c>
      <c r="N43" s="44">
        <v>4</v>
      </c>
      <c r="O43" s="44">
        <v>5</v>
      </c>
      <c r="P43" s="44">
        <v>5</v>
      </c>
      <c r="Q43" s="44">
        <v>4</v>
      </c>
      <c r="R43" s="13">
        <v>7.4305555555555555E-2</v>
      </c>
      <c r="S43" s="43">
        <f>(SUM($R$9:R43)/$R$4)*100</f>
        <v>35.099150306963274</v>
      </c>
      <c r="T43" s="28" t="s">
        <v>6</v>
      </c>
      <c r="U43" s="28" t="s">
        <v>6</v>
      </c>
      <c r="V43" s="28" t="s">
        <v>6</v>
      </c>
      <c r="W43" s="28" t="s">
        <v>6</v>
      </c>
      <c r="X43" s="28" t="s">
        <v>6</v>
      </c>
      <c r="Y43" s="158">
        <v>2</v>
      </c>
      <c r="Z43" s="17"/>
      <c r="AA43" s="173">
        <f t="shared" si="1"/>
        <v>2.1834061135371178E-2</v>
      </c>
      <c r="AB43" s="174">
        <f>Master_Data[[#This Row],[Imp. Level]]/SUMIF(Master_Data[Subject],Master_Data[[#This Row],[Subject]],Master_Data[Imp. Level])</f>
        <v>5.6179775280898875E-2</v>
      </c>
      <c r="AC43" s="157">
        <f>Master_Data[[#This Row],[Subjectwise weights]]*Master_Data[[#This Row],[Confidence Level]]</f>
        <v>0.11235955056179775</v>
      </c>
      <c r="AD43" s="273" t="str">
        <f>Master_Data[[#This Row],[Prac. Book]]</f>
        <v>U</v>
      </c>
      <c r="AE43" s="273" t="str">
        <f>Master_Data[[#This Row],[GARP EOC Ques.]]</f>
        <v>U</v>
      </c>
    </row>
    <row r="44" spans="2:31" ht="27" customHeight="1">
      <c r="B44" s="3">
        <v>36</v>
      </c>
      <c r="C44" s="182" t="str">
        <f ca="1">IF(Master_Data[[#This Row],[Column1]]=0,"",IF(Master_Data[[#This Row],[Column1]]=1,"Current Week",CONCATENATE("Week ",Master_Data[[#This Row],[Column1]])))</f>
        <v>Week 18</v>
      </c>
      <c r="D44" s="3">
        <f ca="1">ROUNDUP(Master_Data[[#This Row],[Column2]]/Working!$C$8,0)</f>
        <v>18</v>
      </c>
      <c r="E44" s="15">
        <f>SUM($F$9:F44)</f>
        <v>2.8651736111111115</v>
      </c>
      <c r="F44" s="27">
        <f>IF(Master_Data[[#This Row],[Lectures]]="D","",Master_Data[[#This Row],[Duration (hh:mm)]])</f>
        <v>8.070601851851851E-2</v>
      </c>
      <c r="G44" s="2" t="s">
        <v>174</v>
      </c>
      <c r="H44" s="2">
        <v>39</v>
      </c>
      <c r="I44" s="2" t="s">
        <v>96</v>
      </c>
      <c r="J44" s="45" t="s">
        <v>176</v>
      </c>
      <c r="K44" s="16">
        <v>8</v>
      </c>
      <c r="L44" s="44">
        <v>4</v>
      </c>
      <c r="M44" s="44">
        <v>2</v>
      </c>
      <c r="N44" s="44">
        <v>4</v>
      </c>
      <c r="O44" s="44">
        <v>4</v>
      </c>
      <c r="P44" s="44">
        <v>4</v>
      </c>
      <c r="Q44" s="44">
        <v>3</v>
      </c>
      <c r="R44" s="12">
        <v>8.070601851851851E-2</v>
      </c>
      <c r="S44" s="43">
        <f>(SUM($R$9:R44)/$R$4)*100</f>
        <v>36.1164768085156</v>
      </c>
      <c r="T44" s="28" t="s">
        <v>6</v>
      </c>
      <c r="U44" s="28" t="s">
        <v>6</v>
      </c>
      <c r="V44" s="28" t="s">
        <v>6</v>
      </c>
      <c r="W44" s="28" t="s">
        <v>6</v>
      </c>
      <c r="X44" s="28" t="s">
        <v>6</v>
      </c>
      <c r="Y44" s="158">
        <v>2</v>
      </c>
      <c r="Z44" s="17"/>
      <c r="AA44" s="173">
        <f t="shared" si="1"/>
        <v>1.7467248908296942E-2</v>
      </c>
      <c r="AB44" s="174">
        <f>Master_Data[[#This Row],[Imp. Level]]/SUMIF(Master_Data[Subject],Master_Data[[#This Row],[Subject]],Master_Data[Imp. Level])</f>
        <v>4.49438202247191E-2</v>
      </c>
      <c r="AC44" s="157">
        <f>Master_Data[[#This Row],[Subjectwise weights]]*Master_Data[[#This Row],[Confidence Level]]</f>
        <v>8.98876404494382E-2</v>
      </c>
      <c r="AD44" s="273" t="str">
        <f>Master_Data[[#This Row],[Prac. Book]]</f>
        <v>U</v>
      </c>
      <c r="AE44" s="273" t="str">
        <f>Master_Data[[#This Row],[GARP EOC Ques.]]</f>
        <v>U</v>
      </c>
    </row>
    <row r="45" spans="2:31" ht="27" customHeight="1">
      <c r="B45" s="3">
        <v>37</v>
      </c>
      <c r="C45" s="182" t="str">
        <f ca="1">IF(Master_Data[[#This Row],[Column1]]=0,"",IF(Master_Data[[#This Row],[Column1]]=1,"Current Week",CONCATENATE("Week ",Master_Data[[#This Row],[Column1]])))</f>
        <v>Week 18</v>
      </c>
      <c r="D45" s="3">
        <f ca="1">ROUNDUP(Master_Data[[#This Row],[Column2]]/Working!$C$8,0)</f>
        <v>18</v>
      </c>
      <c r="E45" s="27">
        <f>SUM($F$9:F45)</f>
        <v>2.923217592592593</v>
      </c>
      <c r="F45" s="3">
        <f>IF(Master_Data[[#This Row],[Lectures]]="D","",Master_Data[[#This Row],[Duration (hh:mm)]])</f>
        <v>5.8043981481481481E-2</v>
      </c>
      <c r="G45" s="2" t="s">
        <v>174</v>
      </c>
      <c r="H45" s="2">
        <v>32</v>
      </c>
      <c r="I45" s="2" t="s">
        <v>96</v>
      </c>
      <c r="J45" s="45" t="s">
        <v>177</v>
      </c>
      <c r="K45" s="16">
        <v>8</v>
      </c>
      <c r="L45" s="44">
        <v>3</v>
      </c>
      <c r="M45" s="44">
        <v>1</v>
      </c>
      <c r="N45" s="44">
        <v>4</v>
      </c>
      <c r="O45" s="44">
        <v>3</v>
      </c>
      <c r="P45" s="44">
        <v>3</v>
      </c>
      <c r="Q45" s="44">
        <v>3</v>
      </c>
      <c r="R45" s="11">
        <v>5.8043981481481481E-2</v>
      </c>
      <c r="S45" s="43">
        <f>(SUM($R$9:R45)/$R$4)*100</f>
        <v>36.848140712901788</v>
      </c>
      <c r="T45" s="28" t="s">
        <v>6</v>
      </c>
      <c r="U45" s="28" t="s">
        <v>6</v>
      </c>
      <c r="V45" s="28" t="s">
        <v>6</v>
      </c>
      <c r="W45" s="28" t="s">
        <v>6</v>
      </c>
      <c r="X45" s="28" t="s">
        <v>6</v>
      </c>
      <c r="Y45" s="158">
        <v>3</v>
      </c>
      <c r="Z45" s="17"/>
      <c r="AA45" s="173">
        <f>P45/SUM($P$9:$P$111)</f>
        <v>8.4269662921348312E-3</v>
      </c>
      <c r="AB45" s="175">
        <f>Master_Data[[#This Row],[Imp. Level]]/SUMIF(Master_Data[Subject],Master_Data[[#This Row],[Subject]],Master_Data[Imp. Level])</f>
        <v>3.3707865168539325E-2</v>
      </c>
      <c r="AC45" s="176">
        <f>Master_Data[[#This Row],[Subjectwise weights]]*Master_Data[[#This Row],[Confidence Level]]</f>
        <v>0.10112359550561797</v>
      </c>
      <c r="AD45" s="273" t="str">
        <f>Master_Data[[#This Row],[Prac. Book]]</f>
        <v>U</v>
      </c>
      <c r="AE45" s="273" t="str">
        <f>Master_Data[[#This Row],[GARP EOC Ques.]]</f>
        <v>U</v>
      </c>
    </row>
    <row r="46" spans="2:31" ht="27" customHeight="1">
      <c r="B46" s="3">
        <v>38</v>
      </c>
      <c r="C46" s="182" t="str">
        <f ca="1">IF(Master_Data[[#This Row],[Column1]]=0,"",IF(Master_Data[[#This Row],[Column1]]=1,"Current Week",CONCATENATE("Week ",Master_Data[[#This Row],[Column1]])))</f>
        <v>Week 19</v>
      </c>
      <c r="D46" s="3">
        <f ca="1">ROUNDUP(Master_Data[[#This Row],[Column2]]/Working!$C$8,0)</f>
        <v>19</v>
      </c>
      <c r="E46" s="27">
        <f>SUM($F$9:F46)</f>
        <v>2.9874189814814818</v>
      </c>
      <c r="F46" s="3">
        <f>IF(Master_Data[[#This Row],[Lectures]]="D","",Master_Data[[#This Row],[Duration (hh:mm)]])</f>
        <v>6.4201388888888891E-2</v>
      </c>
      <c r="G46" s="2" t="s">
        <v>174</v>
      </c>
      <c r="H46" s="2">
        <v>33</v>
      </c>
      <c r="I46" s="2" t="s">
        <v>96</v>
      </c>
      <c r="J46" s="45" t="s">
        <v>178</v>
      </c>
      <c r="K46" s="16">
        <v>6</v>
      </c>
      <c r="L46" s="44">
        <v>2</v>
      </c>
      <c r="M46" s="44">
        <v>1</v>
      </c>
      <c r="N46" s="44">
        <v>3</v>
      </c>
      <c r="O46" s="44">
        <v>3</v>
      </c>
      <c r="P46" s="44">
        <v>4</v>
      </c>
      <c r="Q46" s="44">
        <v>4</v>
      </c>
      <c r="R46" s="11">
        <v>6.4201388888888891E-2</v>
      </c>
      <c r="S46" s="43">
        <f>(SUM($R$9:R46)/$R$4)*100</f>
        <v>37.657420808142106</v>
      </c>
      <c r="T46" s="28" t="s">
        <v>6</v>
      </c>
      <c r="U46" s="28" t="s">
        <v>6</v>
      </c>
      <c r="V46" s="28" t="s">
        <v>6</v>
      </c>
      <c r="W46" s="28" t="s">
        <v>6</v>
      </c>
      <c r="X46" s="28" t="s">
        <v>6</v>
      </c>
      <c r="Y46" s="158">
        <v>2</v>
      </c>
      <c r="Z46" s="17"/>
      <c r="AA46" s="173">
        <f>P46/SUM($P$9:$P$111)</f>
        <v>1.1235955056179775E-2</v>
      </c>
      <c r="AB46" s="175">
        <f>Master_Data[[#This Row],[Imp. Level]]/SUMIF(Master_Data[Subject],Master_Data[[#This Row],[Subject]],Master_Data[Imp. Level])</f>
        <v>4.49438202247191E-2</v>
      </c>
      <c r="AC46" s="176">
        <f>Master_Data[[#This Row],[Subjectwise weights]]*Master_Data[[#This Row],[Confidence Level]]</f>
        <v>8.98876404494382E-2</v>
      </c>
      <c r="AD46" s="273" t="str">
        <f>Master_Data[[#This Row],[Prac. Book]]</f>
        <v>U</v>
      </c>
      <c r="AE46" s="273" t="str">
        <f>Master_Data[[#This Row],[GARP EOC Ques.]]</f>
        <v>U</v>
      </c>
    </row>
    <row r="47" spans="2:31" ht="27" customHeight="1">
      <c r="B47" s="3">
        <v>39</v>
      </c>
      <c r="C47" s="182" t="str">
        <f ca="1">IF(Master_Data[[#This Row],[Column1]]=0,"",IF(Master_Data[[#This Row],[Column1]]=1,"Current Week",CONCATENATE("Week ",Master_Data[[#This Row],[Column1]])))</f>
        <v>Week 19</v>
      </c>
      <c r="D47" s="3">
        <f ca="1">ROUNDUP(Master_Data[[#This Row],[Column2]]/Working!$C$8,0)</f>
        <v>19</v>
      </c>
      <c r="E47" s="15">
        <f>SUM($F$9:F47)</f>
        <v>3.0899305555555561</v>
      </c>
      <c r="F47" s="27">
        <f>IF(Master_Data[[#This Row],[Lectures]]="D","",Master_Data[[#This Row],[Duration (hh:mm)]])</f>
        <v>0.10251157407407407</v>
      </c>
      <c r="G47" s="2" t="s">
        <v>174</v>
      </c>
      <c r="H47" s="2">
        <v>34</v>
      </c>
      <c r="I47" s="2" t="s">
        <v>96</v>
      </c>
      <c r="J47" s="45" t="s">
        <v>245</v>
      </c>
      <c r="K47" s="16">
        <v>11</v>
      </c>
      <c r="L47" s="44">
        <v>3</v>
      </c>
      <c r="M47" s="44">
        <v>1</v>
      </c>
      <c r="N47" s="44">
        <v>3</v>
      </c>
      <c r="O47" s="44">
        <v>4</v>
      </c>
      <c r="P47" s="44">
        <v>4</v>
      </c>
      <c r="Q47" s="44">
        <v>4</v>
      </c>
      <c r="R47" s="12">
        <v>0.10251157407407407</v>
      </c>
      <c r="S47" s="43">
        <f>(SUM($R$9:R47)/$R$4)*100</f>
        <v>38.949613669786871</v>
      </c>
      <c r="T47" s="28" t="s">
        <v>6</v>
      </c>
      <c r="U47" s="28" t="s">
        <v>6</v>
      </c>
      <c r="V47" s="28" t="s">
        <v>6</v>
      </c>
      <c r="W47" s="28" t="s">
        <v>6</v>
      </c>
      <c r="X47" s="28" t="s">
        <v>6</v>
      </c>
      <c r="Y47" s="158">
        <v>2</v>
      </c>
      <c r="Z47" s="17"/>
      <c r="AA47" s="173">
        <f t="shared" ref="AA47:AA52" si="2">P47/SUM($P$9:$P$70)</f>
        <v>1.7467248908296942E-2</v>
      </c>
      <c r="AB47" s="174">
        <f>Master_Data[[#This Row],[Imp. Level]]/SUMIF(Master_Data[Subject],Master_Data[[#This Row],[Subject]],Master_Data[Imp. Level])</f>
        <v>4.49438202247191E-2</v>
      </c>
      <c r="AC47" s="157">
        <f>Master_Data[[#This Row],[Subjectwise weights]]*Master_Data[[#This Row],[Confidence Level]]</f>
        <v>8.98876404494382E-2</v>
      </c>
      <c r="AD47" s="273" t="str">
        <f>Master_Data[[#This Row],[Prac. Book]]</f>
        <v>U</v>
      </c>
      <c r="AE47" s="273" t="str">
        <f>Master_Data[[#This Row],[GARP EOC Ques.]]</f>
        <v>U</v>
      </c>
    </row>
    <row r="48" spans="2:31" ht="27" customHeight="1">
      <c r="B48" s="3">
        <v>40</v>
      </c>
      <c r="C48" s="182" t="str">
        <f ca="1">IF(Master_Data[[#This Row],[Column1]]=0,"",IF(Master_Data[[#This Row],[Column1]]=1,"Current Week",CONCATENATE("Week ",Master_Data[[#This Row],[Column1]])))</f>
        <v>Week 21</v>
      </c>
      <c r="D48" s="3">
        <f ca="1">ROUNDUP(Master_Data[[#This Row],[Column2]]/Working!$C$8,0)</f>
        <v>21</v>
      </c>
      <c r="E48" s="151">
        <f>SUM($F$9:F50)</f>
        <v>3.3606944444444449</v>
      </c>
      <c r="F48" s="27">
        <f>IF(Master_Data[[#This Row],[Lectures]]="D","",Master_Data[[#This Row],[Duration (hh:mm)]])</f>
        <v>0.12922453703703704</v>
      </c>
      <c r="G48" s="2" t="s">
        <v>186</v>
      </c>
      <c r="H48" s="2">
        <v>64</v>
      </c>
      <c r="I48" s="2" t="s">
        <v>96</v>
      </c>
      <c r="J48" s="45" t="s">
        <v>186</v>
      </c>
      <c r="K48" s="16">
        <v>4</v>
      </c>
      <c r="L48" s="44">
        <v>4</v>
      </c>
      <c r="M48" s="44">
        <v>3</v>
      </c>
      <c r="N48" s="44">
        <v>4</v>
      </c>
      <c r="O48" s="44">
        <v>4</v>
      </c>
      <c r="P48" s="44">
        <v>5</v>
      </c>
      <c r="Q48" s="44">
        <v>4</v>
      </c>
      <c r="R48" s="11">
        <v>0.12922453703703704</v>
      </c>
      <c r="S48" s="43">
        <f>(SUM($R$9:R48)/$R$4)*100</f>
        <v>40.578532412054429</v>
      </c>
      <c r="T48" s="28" t="s">
        <v>6</v>
      </c>
      <c r="U48" s="28" t="s">
        <v>6</v>
      </c>
      <c r="V48" s="28" t="s">
        <v>6</v>
      </c>
      <c r="W48" s="28" t="s">
        <v>6</v>
      </c>
      <c r="X48" s="28" t="s">
        <v>6</v>
      </c>
      <c r="Y48" s="158">
        <v>2</v>
      </c>
      <c r="Z48" s="17"/>
      <c r="AA48" s="173">
        <f t="shared" si="2"/>
        <v>2.1834061135371178E-2</v>
      </c>
      <c r="AB48" s="175">
        <f>Master_Data[[#This Row],[Imp. Level]]/SUMIF(Master_Data[Subject],Master_Data[[#This Row],[Subject]],Master_Data[Imp. Level])</f>
        <v>7.4626865671641784E-2</v>
      </c>
      <c r="AC48" s="176">
        <f>Master_Data[[#This Row],[Subjectwise weights]]*Master_Data[[#This Row],[Confidence Level]]</f>
        <v>0.14925373134328357</v>
      </c>
      <c r="AD48" s="273" t="str">
        <f>Master_Data[[#This Row],[Prac. Book]]</f>
        <v>U</v>
      </c>
      <c r="AE48" s="273" t="str">
        <f>Master_Data[[#This Row],[GARP EOC Ques.]]</f>
        <v>U</v>
      </c>
    </row>
    <row r="49" spans="2:31" ht="27" customHeight="1">
      <c r="B49" s="3">
        <v>41</v>
      </c>
      <c r="C49" s="182" t="str">
        <f ca="1">IF(Master_Data[[#This Row],[Column1]]=0,"",IF(Master_Data[[#This Row],[Column1]]=1,"Current Week",CONCATENATE("Week ",Master_Data[[#This Row],[Column1]])))</f>
        <v>Week 20</v>
      </c>
      <c r="D49" s="3">
        <f ca="1">ROUNDUP(Master_Data[[#This Row],[Column2]]/Working!$C$8,0)</f>
        <v>20</v>
      </c>
      <c r="E49" s="15">
        <f>SUM($F$9:F49)</f>
        <v>3.3143750000000005</v>
      </c>
      <c r="F49" s="27">
        <f>IF(Master_Data[[#This Row],[Lectures]]="D","",Master_Data[[#This Row],[Duration (hh:mm)]])</f>
        <v>9.521990740740742E-2</v>
      </c>
      <c r="G49" s="2" t="s">
        <v>186</v>
      </c>
      <c r="H49" s="2">
        <v>65</v>
      </c>
      <c r="I49" s="2" t="s">
        <v>96</v>
      </c>
      <c r="J49" s="45" t="s">
        <v>187</v>
      </c>
      <c r="K49" s="16">
        <v>7</v>
      </c>
      <c r="L49" s="44">
        <v>4</v>
      </c>
      <c r="M49" s="44">
        <v>3</v>
      </c>
      <c r="N49" s="44">
        <v>4</v>
      </c>
      <c r="O49" s="44">
        <v>4</v>
      </c>
      <c r="P49" s="44">
        <v>4</v>
      </c>
      <c r="Q49" s="44">
        <v>4</v>
      </c>
      <c r="R49" s="11">
        <v>9.521990740740742E-2</v>
      </c>
      <c r="S49" s="43">
        <f>(SUM($R$9:R49)/$R$4)*100</f>
        <v>41.778811363477196</v>
      </c>
      <c r="T49" s="28" t="s">
        <v>6</v>
      </c>
      <c r="U49" s="28" t="s">
        <v>6</v>
      </c>
      <c r="V49" s="28" t="s">
        <v>6</v>
      </c>
      <c r="W49" s="28" t="s">
        <v>6</v>
      </c>
      <c r="X49" s="28" t="s">
        <v>6</v>
      </c>
      <c r="Y49" s="158">
        <v>2</v>
      </c>
      <c r="Z49" s="17"/>
      <c r="AA49" s="173">
        <f t="shared" si="2"/>
        <v>1.7467248908296942E-2</v>
      </c>
      <c r="AB49" s="174">
        <f>Master_Data[[#This Row],[Imp. Level]]/SUMIF(Master_Data[Subject],Master_Data[[#This Row],[Subject]],Master_Data[Imp. Level])</f>
        <v>5.9701492537313432E-2</v>
      </c>
      <c r="AC49" s="157">
        <f>Master_Data[[#This Row],[Subjectwise weights]]*Master_Data[[#This Row],[Confidence Level]]</f>
        <v>0.11940298507462686</v>
      </c>
      <c r="AD49" s="273" t="str">
        <f>Master_Data[[#This Row],[Prac. Book]]</f>
        <v>U</v>
      </c>
      <c r="AE49" s="273" t="str">
        <f>Master_Data[[#This Row],[GARP EOC Ques.]]</f>
        <v>U</v>
      </c>
    </row>
    <row r="50" spans="2:31" ht="27" customHeight="1">
      <c r="B50" s="3">
        <v>42</v>
      </c>
      <c r="C50" s="182" t="str">
        <f ca="1">IF(Master_Data[[#This Row],[Column1]]=0,"",IF(Master_Data[[#This Row],[Column1]]=1,"Current Week",CONCATENATE("Week ",Master_Data[[#This Row],[Column1]])))</f>
        <v>Week 21</v>
      </c>
      <c r="D50" s="3">
        <f ca="1">ROUNDUP(Master_Data[[#This Row],[Column2]]/Working!$C$8,0)</f>
        <v>21</v>
      </c>
      <c r="E50" s="15">
        <f>SUM($F$9:F50)</f>
        <v>3.3606944444444449</v>
      </c>
      <c r="F50" s="27">
        <f>IF(Master_Data[[#This Row],[Lectures]]="D","",Master_Data[[#This Row],[Duration (hh:mm)]])</f>
        <v>4.6319444444444441E-2</v>
      </c>
      <c r="G50" s="2" t="s">
        <v>186</v>
      </c>
      <c r="H50" s="2">
        <v>66</v>
      </c>
      <c r="I50" s="2" t="s">
        <v>96</v>
      </c>
      <c r="J50" s="45" t="s">
        <v>188</v>
      </c>
      <c r="K50" s="16">
        <v>3</v>
      </c>
      <c r="L50" s="44">
        <v>2</v>
      </c>
      <c r="M50" s="44">
        <v>1</v>
      </c>
      <c r="N50" s="44">
        <v>2</v>
      </c>
      <c r="O50" s="44">
        <v>2</v>
      </c>
      <c r="P50" s="44">
        <v>3</v>
      </c>
      <c r="Q50" s="44">
        <v>3</v>
      </c>
      <c r="R50" s="11">
        <v>4.6319444444444441E-2</v>
      </c>
      <c r="S50" s="43">
        <f>(SUM($R$9:R50)/$R$4)*100</f>
        <v>42.362683536030247</v>
      </c>
      <c r="T50" s="28" t="s">
        <v>6</v>
      </c>
      <c r="U50" s="28" t="s">
        <v>6</v>
      </c>
      <c r="V50" s="28" t="s">
        <v>6</v>
      </c>
      <c r="W50" s="28" t="s">
        <v>6</v>
      </c>
      <c r="X50" s="28" t="s">
        <v>6</v>
      </c>
      <c r="Y50" s="158">
        <v>2</v>
      </c>
      <c r="Z50" s="17"/>
      <c r="AA50" s="173">
        <f t="shared" si="2"/>
        <v>1.3100436681222707E-2</v>
      </c>
      <c r="AB50" s="174">
        <f>Master_Data[[#This Row],[Imp. Level]]/SUMIF(Master_Data[Subject],Master_Data[[#This Row],[Subject]],Master_Data[Imp. Level])</f>
        <v>4.4776119402985072E-2</v>
      </c>
      <c r="AC50" s="157">
        <f>Master_Data[[#This Row],[Subjectwise weights]]*Master_Data[[#This Row],[Confidence Level]]</f>
        <v>8.9552238805970144E-2</v>
      </c>
      <c r="AD50" s="273" t="str">
        <f>Master_Data[[#This Row],[Prac. Book]]</f>
        <v>U</v>
      </c>
      <c r="AE50" s="273" t="str">
        <f>Master_Data[[#This Row],[GARP EOC Ques.]]</f>
        <v>U</v>
      </c>
    </row>
    <row r="51" spans="2:31" ht="27" customHeight="1">
      <c r="B51" s="3">
        <v>43</v>
      </c>
      <c r="C51" s="182" t="str">
        <f ca="1">IF(Master_Data[[#This Row],[Column1]]=0,"",IF(Master_Data[[#This Row],[Column1]]=1,"Current Week",CONCATENATE("Week ",Master_Data[[#This Row],[Column1]])))</f>
        <v>Week 22</v>
      </c>
      <c r="D51" s="3">
        <f ca="1">ROUNDUP(Master_Data[[#This Row],[Column2]]/Working!$C$8,0)</f>
        <v>22</v>
      </c>
      <c r="E51" s="15">
        <f>SUM($F$9:F51)</f>
        <v>3.495219907407408</v>
      </c>
      <c r="F51" s="27">
        <f>IF(Master_Data[[#This Row],[Lectures]]="D","",Master_Data[[#This Row],[Duration (hh:mm)]])</f>
        <v>0.13452546296296297</v>
      </c>
      <c r="G51" s="2" t="s">
        <v>174</v>
      </c>
      <c r="H51" s="2">
        <v>37</v>
      </c>
      <c r="I51" s="2" t="s">
        <v>96</v>
      </c>
      <c r="J51" s="45" t="s">
        <v>179</v>
      </c>
      <c r="K51" s="16">
        <v>17</v>
      </c>
      <c r="L51" s="44">
        <v>4</v>
      </c>
      <c r="M51" s="44">
        <v>2</v>
      </c>
      <c r="N51" s="44">
        <v>4</v>
      </c>
      <c r="O51" s="44">
        <v>4</v>
      </c>
      <c r="P51" s="44">
        <v>5</v>
      </c>
      <c r="Q51" s="44">
        <v>4</v>
      </c>
      <c r="R51" s="11">
        <v>0.13452546296296297</v>
      </c>
      <c r="S51" s="43">
        <f>(SUM($R$9:R51)/$R$4)*100</f>
        <v>44.058422232078236</v>
      </c>
      <c r="T51" s="28" t="s">
        <v>6</v>
      </c>
      <c r="U51" s="28" t="s">
        <v>6</v>
      </c>
      <c r="V51" s="28" t="s">
        <v>6</v>
      </c>
      <c r="W51" s="28" t="s">
        <v>6</v>
      </c>
      <c r="X51" s="28" t="s">
        <v>6</v>
      </c>
      <c r="Y51" s="158">
        <v>2</v>
      </c>
      <c r="Z51" s="17"/>
      <c r="AA51" s="173">
        <f t="shared" si="2"/>
        <v>2.1834061135371178E-2</v>
      </c>
      <c r="AB51" s="174">
        <f>Master_Data[[#This Row],[Imp. Level]]/SUMIF(Master_Data[Subject],Master_Data[[#This Row],[Subject]],Master_Data[Imp. Level])</f>
        <v>5.6179775280898875E-2</v>
      </c>
      <c r="AC51" s="157">
        <f>Master_Data[[#This Row],[Subjectwise weights]]*Master_Data[[#This Row],[Confidence Level]]</f>
        <v>0.11235955056179775</v>
      </c>
      <c r="AD51" s="273" t="str">
        <f>Master_Data[[#This Row],[Prac. Book]]</f>
        <v>U</v>
      </c>
      <c r="AE51" s="273" t="str">
        <f>Master_Data[[#This Row],[GARP EOC Ques.]]</f>
        <v>U</v>
      </c>
    </row>
    <row r="52" spans="2:31" ht="27" customHeight="1">
      <c r="B52" s="3">
        <v>44</v>
      </c>
      <c r="C52" s="182" t="str">
        <f ca="1">IF(Master_Data[[#This Row],[Column1]]=0,"",IF(Master_Data[[#This Row],[Column1]]=1,"Current Week",CONCATENATE("Week ",Master_Data[[#This Row],[Column1]])))</f>
        <v>Week 22</v>
      </c>
      <c r="D52" s="3">
        <f ca="1">ROUNDUP(Master_Data[[#This Row],[Column2]]/Working!$C$8,0)</f>
        <v>22</v>
      </c>
      <c r="E52" s="15">
        <f>SUM($F$9:F52)</f>
        <v>3.6125694444444449</v>
      </c>
      <c r="F52" s="27">
        <f>IF(Master_Data[[#This Row],[Lectures]]="D","",Master_Data[[#This Row],[Duration (hh:mm)]])</f>
        <v>0.11734953703703704</v>
      </c>
      <c r="G52" s="2" t="s">
        <v>174</v>
      </c>
      <c r="H52" s="2">
        <v>36</v>
      </c>
      <c r="I52" s="2" t="s">
        <v>96</v>
      </c>
      <c r="J52" s="45" t="s">
        <v>180</v>
      </c>
      <c r="K52" s="16">
        <v>9</v>
      </c>
      <c r="L52" s="44">
        <v>4</v>
      </c>
      <c r="M52" s="44">
        <v>3</v>
      </c>
      <c r="N52" s="44">
        <v>5</v>
      </c>
      <c r="O52" s="44">
        <v>5</v>
      </c>
      <c r="P52" s="44">
        <v>5</v>
      </c>
      <c r="Q52" s="44">
        <v>4</v>
      </c>
      <c r="R52" s="11">
        <v>0.11734953703703704</v>
      </c>
      <c r="S52" s="43">
        <f>(SUM($R$9:R52)/$R$4)*100</f>
        <v>45.53765260626998</v>
      </c>
      <c r="T52" s="28" t="s">
        <v>6</v>
      </c>
      <c r="U52" s="28" t="s">
        <v>6</v>
      </c>
      <c r="V52" s="28" t="s">
        <v>6</v>
      </c>
      <c r="W52" s="28" t="s">
        <v>6</v>
      </c>
      <c r="X52" s="28" t="s">
        <v>6</v>
      </c>
      <c r="Y52" s="158">
        <v>2</v>
      </c>
      <c r="Z52" s="17"/>
      <c r="AA52" s="173">
        <f t="shared" si="2"/>
        <v>2.1834061135371178E-2</v>
      </c>
      <c r="AB52" s="175">
        <f>Master_Data[[#This Row],[Imp. Level]]/SUMIF(Master_Data[Subject],Master_Data[[#This Row],[Subject]],Master_Data[Imp. Level])</f>
        <v>5.6179775280898875E-2</v>
      </c>
      <c r="AC52" s="176">
        <f>Master_Data[[#This Row],[Subjectwise weights]]*Master_Data[[#This Row],[Confidence Level]]</f>
        <v>0.11235955056179775</v>
      </c>
      <c r="AD52" s="273" t="str">
        <f>Master_Data[[#This Row],[Prac. Book]]</f>
        <v>U</v>
      </c>
      <c r="AE52" s="273" t="str">
        <f>Master_Data[[#This Row],[GARP EOC Ques.]]</f>
        <v>U</v>
      </c>
    </row>
    <row r="53" spans="2:31" ht="27" customHeight="1">
      <c r="B53" s="3">
        <v>45</v>
      </c>
      <c r="C53" s="182" t="str">
        <f ca="1">IF(Master_Data[[#This Row],[Column1]]=0,"",IF(Master_Data[[#This Row],[Column1]]=1,"Current Week",CONCATENATE("Week ",Master_Data[[#This Row],[Column1]])))</f>
        <v>Week 23</v>
      </c>
      <c r="D53" s="3">
        <f ca="1">ROUNDUP(Master_Data[[#This Row],[Column2]]/Working!$C$8,0)</f>
        <v>23</v>
      </c>
      <c r="E53" s="151">
        <f>SUM($F$9:F53)</f>
        <v>3.6920949074074079</v>
      </c>
      <c r="F53" s="27">
        <f>IF(Master_Data[[#This Row],[Lectures]]="D","",Master_Data[[#This Row],[Duration (hh:mm)]])</f>
        <v>7.9525462962962964E-2</v>
      </c>
      <c r="G53" s="2" t="s">
        <v>174</v>
      </c>
      <c r="H53" s="2">
        <v>38</v>
      </c>
      <c r="I53" s="2" t="s">
        <v>95</v>
      </c>
      <c r="J53" s="45" t="s">
        <v>181</v>
      </c>
      <c r="K53" s="16">
        <v>8</v>
      </c>
      <c r="L53" s="44">
        <v>2</v>
      </c>
      <c r="M53" s="44">
        <v>2</v>
      </c>
      <c r="N53" s="44">
        <v>4</v>
      </c>
      <c r="O53" s="44">
        <v>5</v>
      </c>
      <c r="P53" s="44">
        <v>3</v>
      </c>
      <c r="Q53" s="44">
        <v>3</v>
      </c>
      <c r="R53" s="11">
        <v>7.9525462962962964E-2</v>
      </c>
      <c r="S53" s="43">
        <f>(SUM($R$9:R53)/$R$4)*100</f>
        <v>46.540097808072076</v>
      </c>
      <c r="T53" s="28" t="s">
        <v>6</v>
      </c>
      <c r="U53" s="28" t="s">
        <v>6</v>
      </c>
      <c r="V53" s="28" t="s">
        <v>6</v>
      </c>
      <c r="W53" s="28" t="s">
        <v>6</v>
      </c>
      <c r="X53" s="28" t="s">
        <v>6</v>
      </c>
      <c r="Y53" s="158">
        <v>2</v>
      </c>
      <c r="Z53" s="17"/>
      <c r="AA53" s="173">
        <f t="shared" ref="AA53:AA58" si="3">P53/SUM($P$9:$P$111)</f>
        <v>8.4269662921348312E-3</v>
      </c>
      <c r="AB53" s="174">
        <f>Master_Data[[#This Row],[Imp. Level]]/SUMIF(Master_Data[Subject],Master_Data[[#This Row],[Subject]],Master_Data[Imp. Level])</f>
        <v>3.3707865168539325E-2</v>
      </c>
      <c r="AC53" s="157">
        <f>Master_Data[[#This Row],[Subjectwise weights]]*Master_Data[[#This Row],[Confidence Level]]</f>
        <v>6.741573033707865E-2</v>
      </c>
      <c r="AD53" s="273" t="str">
        <f>Master_Data[[#This Row],[Prac. Book]]</f>
        <v>U</v>
      </c>
      <c r="AE53" s="273" t="str">
        <f>Master_Data[[#This Row],[GARP EOC Ques.]]</f>
        <v>U</v>
      </c>
    </row>
    <row r="54" spans="2:31" ht="27" customHeight="1">
      <c r="B54" s="3">
        <v>46</v>
      </c>
      <c r="C54" s="182" t="str">
        <f ca="1">IF(Master_Data[[#This Row],[Column1]]=0,"",IF(Master_Data[[#This Row],[Column1]]=1,"Current Week",CONCATENATE("Week ",Master_Data[[#This Row],[Column1]])))</f>
        <v>Week 23</v>
      </c>
      <c r="D54" s="3">
        <f ca="1">ROUNDUP(Master_Data[[#This Row],[Column2]]/Working!$C$8,0)</f>
        <v>23</v>
      </c>
      <c r="E54" s="151">
        <f>SUM($F$9:F54)</f>
        <v>3.7809837962962969</v>
      </c>
      <c r="F54" s="27">
        <f>IF(Master_Data[[#This Row],[Lectures]]="D","",Master_Data[[#This Row],[Duration (hh:mm)]])</f>
        <v>8.8888888888888892E-2</v>
      </c>
      <c r="G54" s="2" t="s">
        <v>174</v>
      </c>
      <c r="H54" s="2">
        <v>19</v>
      </c>
      <c r="I54" s="2" t="s">
        <v>97</v>
      </c>
      <c r="J54" s="45" t="s">
        <v>246</v>
      </c>
      <c r="K54" s="16">
        <v>10</v>
      </c>
      <c r="L54" s="44">
        <v>2</v>
      </c>
      <c r="M54" s="44">
        <v>2</v>
      </c>
      <c r="N54" s="44">
        <v>4</v>
      </c>
      <c r="O54" s="44">
        <v>5</v>
      </c>
      <c r="P54" s="44">
        <v>3</v>
      </c>
      <c r="Q54" s="44">
        <v>3</v>
      </c>
      <c r="R54" s="11">
        <v>8.8888888888888892E-2</v>
      </c>
      <c r="S54" s="43">
        <f>(SUM($R$9:R54)/$R$4)*100</f>
        <v>47.66057214220686</v>
      </c>
      <c r="T54" s="28" t="s">
        <v>6</v>
      </c>
      <c r="U54" s="28" t="s">
        <v>6</v>
      </c>
      <c r="V54" s="28" t="s">
        <v>6</v>
      </c>
      <c r="W54" s="28" t="s">
        <v>6</v>
      </c>
      <c r="X54" s="28" t="s">
        <v>6</v>
      </c>
      <c r="Y54" s="158">
        <v>2</v>
      </c>
      <c r="Z54" s="17"/>
      <c r="AA54" s="173">
        <f t="shared" si="3"/>
        <v>8.4269662921348312E-3</v>
      </c>
      <c r="AB54" s="174">
        <f>Master_Data[[#This Row],[Imp. Level]]/SUMIF(Master_Data[Subject],Master_Data[[#This Row],[Subject]],Master_Data[Imp. Level])</f>
        <v>3.3707865168539325E-2</v>
      </c>
      <c r="AC54" s="157">
        <f>Master_Data[[#This Row],[Subjectwise weights]]*Master_Data[[#This Row],[Confidence Level]]</f>
        <v>6.741573033707865E-2</v>
      </c>
      <c r="AD54" s="273" t="str">
        <f>Master_Data[[#This Row],[Prac. Book]]</f>
        <v>U</v>
      </c>
      <c r="AE54" s="273" t="str">
        <f>Master_Data[[#This Row],[GARP EOC Ques.]]</f>
        <v>U</v>
      </c>
    </row>
    <row r="55" spans="2:31" ht="27" customHeight="1">
      <c r="B55" s="3">
        <v>47</v>
      </c>
      <c r="C55" s="182" t="str">
        <f ca="1">IF(Master_Data[[#This Row],[Column1]]=0,"",IF(Master_Data[[#This Row],[Column1]]=1,"Current Week",CONCATENATE("Week ",Master_Data[[#This Row],[Column1]])))</f>
        <v>Week 32</v>
      </c>
      <c r="D55" s="3">
        <f ca="1">ROUNDUP(Master_Data[[#This Row],[Column2]]/Working!$C$8,0)</f>
        <v>32</v>
      </c>
      <c r="E55" s="151">
        <f>SUM($F$9:F68)</f>
        <v>5.2233449074074088</v>
      </c>
      <c r="F55" s="27">
        <f>IF(Master_Data[[#This Row],[Lectures]]="D","",Master_Data[[#This Row],[Duration (hh:mm)]])</f>
        <v>0.10827546296296296</v>
      </c>
      <c r="G55" s="2" t="s">
        <v>185</v>
      </c>
      <c r="H55" s="2">
        <v>41</v>
      </c>
      <c r="I55" s="2" t="s">
        <v>96</v>
      </c>
      <c r="J55" s="45" t="s">
        <v>218</v>
      </c>
      <c r="K55" s="16">
        <v>4</v>
      </c>
      <c r="L55" s="44">
        <v>2</v>
      </c>
      <c r="M55" s="44">
        <v>1</v>
      </c>
      <c r="N55" s="44">
        <v>2</v>
      </c>
      <c r="O55" s="44">
        <v>2</v>
      </c>
      <c r="P55" s="44">
        <v>3</v>
      </c>
      <c r="Q55" s="44">
        <v>4</v>
      </c>
      <c r="R55" s="11">
        <v>0.10827546296296296</v>
      </c>
      <c r="S55" s="43">
        <f>(SUM($R$9:R55)/$R$4)*100</f>
        <v>49.025420761455671</v>
      </c>
      <c r="T55" s="28" t="s">
        <v>6</v>
      </c>
      <c r="U55" s="28" t="s">
        <v>6</v>
      </c>
      <c r="V55" s="28" t="s">
        <v>6</v>
      </c>
      <c r="W55" s="28" t="s">
        <v>6</v>
      </c>
      <c r="X55" s="28" t="s">
        <v>6</v>
      </c>
      <c r="Y55" s="158">
        <v>2</v>
      </c>
      <c r="Z55" s="17"/>
      <c r="AA55" s="173">
        <f t="shared" si="3"/>
        <v>8.4269662921348312E-3</v>
      </c>
      <c r="AB55" s="174">
        <f>Master_Data[[#This Row],[Imp. Level]]/SUMIF(Master_Data[Subject],Master_Data[[#This Row],[Subject]],Master_Data[Imp. Level])</f>
        <v>4.1666666666666664E-2</v>
      </c>
      <c r="AC55" s="157">
        <f>Master_Data[[#This Row],[Subjectwise weights]]*Master_Data[[#This Row],[Confidence Level]]</f>
        <v>8.3333333333333329E-2</v>
      </c>
      <c r="AD55" s="273" t="str">
        <f>Master_Data[[#This Row],[Prac. Book]]</f>
        <v>U</v>
      </c>
      <c r="AE55" s="273" t="str">
        <f>Master_Data[[#This Row],[GARP EOC Ques.]]</f>
        <v>U</v>
      </c>
    </row>
    <row r="56" spans="2:31" ht="27" customHeight="1">
      <c r="B56" s="3">
        <v>48</v>
      </c>
      <c r="C56" s="182" t="str">
        <f ca="1">IF(Master_Data[[#This Row],[Column1]]=0,"",IF(Master_Data[[#This Row],[Column1]]=1,"Current Week",CONCATENATE("Week ",Master_Data[[#This Row],[Column1]])))</f>
        <v>Week 24</v>
      </c>
      <c r="D56" s="3">
        <f ca="1">ROUNDUP(Master_Data[[#This Row],[Column2]]/Working!$C$8,0)</f>
        <v>24</v>
      </c>
      <c r="E56" s="151">
        <f>SUM($F$9:F56)</f>
        <v>3.9693634259259265</v>
      </c>
      <c r="F56" s="27">
        <f>IF(Master_Data[[#This Row],[Lectures]]="D","",Master_Data[[#This Row],[Duration (hh:mm)]])</f>
        <v>8.0104166666666657E-2</v>
      </c>
      <c r="G56" s="2" t="s">
        <v>185</v>
      </c>
      <c r="H56" s="2">
        <v>42</v>
      </c>
      <c r="I56" s="2" t="s">
        <v>96</v>
      </c>
      <c r="J56" s="45" t="s">
        <v>219</v>
      </c>
      <c r="K56" s="16">
        <v>4</v>
      </c>
      <c r="L56" s="44">
        <v>2</v>
      </c>
      <c r="M56" s="44">
        <v>1</v>
      </c>
      <c r="N56" s="44">
        <v>2</v>
      </c>
      <c r="O56" s="44">
        <v>2</v>
      </c>
      <c r="P56" s="44">
        <v>2</v>
      </c>
      <c r="Q56" s="44">
        <v>3</v>
      </c>
      <c r="R56" s="11">
        <v>8.0104166666666657E-2</v>
      </c>
      <c r="S56" s="43">
        <f>(SUM($R$9:R56)/$R$4)*100</f>
        <v>50.035160718037297</v>
      </c>
      <c r="T56" s="28" t="s">
        <v>6</v>
      </c>
      <c r="U56" s="28" t="s">
        <v>6</v>
      </c>
      <c r="V56" s="28" t="s">
        <v>6</v>
      </c>
      <c r="W56" s="28" t="s">
        <v>6</v>
      </c>
      <c r="X56" s="28" t="s">
        <v>6</v>
      </c>
      <c r="Y56" s="158">
        <v>3</v>
      </c>
      <c r="Z56" s="17"/>
      <c r="AA56" s="173">
        <f t="shared" si="3"/>
        <v>5.6179775280898875E-3</v>
      </c>
      <c r="AB56" s="174">
        <f>Master_Data[[#This Row],[Imp. Level]]/SUMIF(Master_Data[Subject],Master_Data[[#This Row],[Subject]],Master_Data[Imp. Level])</f>
        <v>2.7777777777777776E-2</v>
      </c>
      <c r="AC56" s="157">
        <f>Master_Data[[#This Row],[Subjectwise weights]]*Master_Data[[#This Row],[Confidence Level]]</f>
        <v>8.3333333333333329E-2</v>
      </c>
      <c r="AD56" s="273" t="str">
        <f>Master_Data[[#This Row],[Prac. Book]]</f>
        <v>U</v>
      </c>
      <c r="AE56" s="273" t="str">
        <f>Master_Data[[#This Row],[GARP EOC Ques.]]</f>
        <v>U</v>
      </c>
    </row>
    <row r="57" spans="2:31" ht="27" customHeight="1">
      <c r="B57" s="3">
        <v>49</v>
      </c>
      <c r="C57" s="182" t="str">
        <f ca="1">IF(Master_Data[[#This Row],[Column1]]=0,"",IF(Master_Data[[#This Row],[Column1]]=1,"Current Week",CONCATENATE("Week ",Master_Data[[#This Row],[Column1]])))</f>
        <v>Week 25</v>
      </c>
      <c r="D57" s="3">
        <f ca="1">ROUNDUP(Master_Data[[#This Row],[Column2]]/Working!$C$8,0)</f>
        <v>25</v>
      </c>
      <c r="E57" s="151">
        <f>SUM($F$9:F57)</f>
        <v>4.0984606481481487</v>
      </c>
      <c r="F57" s="27">
        <f>IF(Master_Data[[#This Row],[Lectures]]="D","",Master_Data[[#This Row],[Duration (hh:mm)]])</f>
        <v>0.12909722222222222</v>
      </c>
      <c r="G57" s="2" t="s">
        <v>185</v>
      </c>
      <c r="H57" s="2">
        <v>43</v>
      </c>
      <c r="I57" s="2" t="s">
        <v>95</v>
      </c>
      <c r="J57" s="45" t="s">
        <v>220</v>
      </c>
      <c r="K57" s="16">
        <v>7</v>
      </c>
      <c r="L57" s="44">
        <v>4</v>
      </c>
      <c r="M57" s="44">
        <v>1</v>
      </c>
      <c r="N57" s="44">
        <v>3</v>
      </c>
      <c r="O57" s="44">
        <v>2</v>
      </c>
      <c r="P57" s="44">
        <v>4</v>
      </c>
      <c r="Q57" s="44">
        <v>3</v>
      </c>
      <c r="R57" s="11">
        <v>0.12909722222222222</v>
      </c>
      <c r="S57" s="43">
        <f>(SUM($R$9:R57)/$R$4)*100</f>
        <v>51.662474614253362</v>
      </c>
      <c r="T57" s="28" t="s">
        <v>6</v>
      </c>
      <c r="U57" s="28" t="s">
        <v>6</v>
      </c>
      <c r="V57" s="28" t="s">
        <v>6</v>
      </c>
      <c r="W57" s="28" t="s">
        <v>6</v>
      </c>
      <c r="X57" s="28" t="s">
        <v>6</v>
      </c>
      <c r="Y57" s="158">
        <v>3</v>
      </c>
      <c r="Z57" s="17"/>
      <c r="AA57" s="173">
        <f t="shared" si="3"/>
        <v>1.1235955056179775E-2</v>
      </c>
      <c r="AB57" s="174">
        <f>Master_Data[[#This Row],[Imp. Level]]/SUMIF(Master_Data[Subject],Master_Data[[#This Row],[Subject]],Master_Data[Imp. Level])</f>
        <v>5.5555555555555552E-2</v>
      </c>
      <c r="AC57" s="157">
        <f>Master_Data[[#This Row],[Subjectwise weights]]*Master_Data[[#This Row],[Confidence Level]]</f>
        <v>0.16666666666666666</v>
      </c>
      <c r="AD57" s="273" t="str">
        <f>Master_Data[[#This Row],[Prac. Book]]</f>
        <v>U</v>
      </c>
      <c r="AE57" s="273" t="str">
        <f>Master_Data[[#This Row],[GARP EOC Ques.]]</f>
        <v>U</v>
      </c>
    </row>
    <row r="58" spans="2:31" ht="27" customHeight="1">
      <c r="B58" s="3">
        <v>50</v>
      </c>
      <c r="C58" s="182" t="str">
        <f ca="1">IF(Master_Data[[#This Row],[Column1]]=0,"",IF(Master_Data[[#This Row],[Column1]]=1,"Current Week",CONCATENATE("Week ",Master_Data[[#This Row],[Column1]])))</f>
        <v>Week 26</v>
      </c>
      <c r="D58" s="3">
        <f ca="1">ROUNDUP(Master_Data[[#This Row],[Column2]]/Working!$C$8,0)</f>
        <v>26</v>
      </c>
      <c r="E58" s="151">
        <f>SUM($F$9:F58)</f>
        <v>4.1991666666666676</v>
      </c>
      <c r="F58" s="27">
        <f>IF(Master_Data[[#This Row],[Lectures]]="D","",Master_Data[[#This Row],[Duration (hh:mm)]])</f>
        <v>0.10070601851851851</v>
      </c>
      <c r="G58" s="2" t="s">
        <v>185</v>
      </c>
      <c r="H58" s="2">
        <v>44</v>
      </c>
      <c r="I58" s="2" t="s">
        <v>95</v>
      </c>
      <c r="J58" s="45" t="s">
        <v>221</v>
      </c>
      <c r="K58" s="16">
        <v>7</v>
      </c>
      <c r="L58" s="44">
        <v>3</v>
      </c>
      <c r="M58" s="44">
        <v>1</v>
      </c>
      <c r="N58" s="44">
        <v>3</v>
      </c>
      <c r="O58" s="44">
        <v>2</v>
      </c>
      <c r="P58" s="44">
        <v>3</v>
      </c>
      <c r="Q58" s="44">
        <v>2</v>
      </c>
      <c r="R58" s="11">
        <v>0.10070601851851851</v>
      </c>
      <c r="S58" s="43">
        <f>(SUM($R$9:R58)/$R$4)*100</f>
        <v>52.931907840986014</v>
      </c>
      <c r="T58" s="28" t="s">
        <v>6</v>
      </c>
      <c r="U58" s="28" t="s">
        <v>6</v>
      </c>
      <c r="V58" s="28" t="s">
        <v>6</v>
      </c>
      <c r="W58" s="28" t="s">
        <v>6</v>
      </c>
      <c r="X58" s="28" t="s">
        <v>6</v>
      </c>
      <c r="Y58" s="158">
        <v>2</v>
      </c>
      <c r="Z58" s="17"/>
      <c r="AA58" s="173">
        <f t="shared" si="3"/>
        <v>8.4269662921348312E-3</v>
      </c>
      <c r="AB58" s="174">
        <f>Master_Data[[#This Row],[Imp. Level]]/SUMIF(Master_Data[Subject],Master_Data[[#This Row],[Subject]],Master_Data[Imp. Level])</f>
        <v>4.1666666666666664E-2</v>
      </c>
      <c r="AC58" s="157">
        <f>Master_Data[[#This Row],[Subjectwise weights]]*Master_Data[[#This Row],[Confidence Level]]</f>
        <v>8.3333333333333329E-2</v>
      </c>
      <c r="AD58" s="273" t="str">
        <f>Master_Data[[#This Row],[Prac. Book]]</f>
        <v>U</v>
      </c>
      <c r="AE58" s="273" t="str">
        <f>Master_Data[[#This Row],[GARP EOC Ques.]]</f>
        <v>U</v>
      </c>
    </row>
    <row r="59" spans="2:31" ht="27" customHeight="1">
      <c r="B59" s="3">
        <v>51</v>
      </c>
      <c r="C59" s="182" t="str">
        <f ca="1">IF(Master_Data[[#This Row],[Column1]]=0,"",IF(Master_Data[[#This Row],[Column1]]=1,"Current Week",CONCATENATE("Week ",Master_Data[[#This Row],[Column1]])))</f>
        <v>Week 26</v>
      </c>
      <c r="D59" s="3">
        <f ca="1">ROUNDUP(Master_Data[[#This Row],[Column2]]/Working!$C$8,0)</f>
        <v>26</v>
      </c>
      <c r="E59" s="15">
        <f>SUM($F$9:F59)</f>
        <v>4.2681828703703717</v>
      </c>
      <c r="F59" s="27">
        <f>IF(Master_Data[[#This Row],[Lectures]]="D","",Master_Data[[#This Row],[Duration (hh:mm)]])</f>
        <v>6.9016203703703705E-2</v>
      </c>
      <c r="G59" s="2" t="s">
        <v>185</v>
      </c>
      <c r="H59" s="2">
        <v>45</v>
      </c>
      <c r="I59" s="2" t="s">
        <v>96</v>
      </c>
      <c r="J59" s="271" t="s">
        <v>222</v>
      </c>
      <c r="K59" s="16">
        <v>4</v>
      </c>
      <c r="L59" s="44">
        <v>2</v>
      </c>
      <c r="M59" s="44">
        <v>1</v>
      </c>
      <c r="N59" s="44">
        <v>2</v>
      </c>
      <c r="O59" s="44">
        <v>2</v>
      </c>
      <c r="P59" s="44">
        <v>3</v>
      </c>
      <c r="Q59" s="44">
        <v>3</v>
      </c>
      <c r="R59" s="13">
        <v>6.9016203703703705E-2</v>
      </c>
      <c r="S59" s="43">
        <f>(SUM($R$9:R59)/$R$4)*100</f>
        <v>53.801880295991964</v>
      </c>
      <c r="T59" s="28" t="s">
        <v>6</v>
      </c>
      <c r="U59" s="28" t="s">
        <v>6</v>
      </c>
      <c r="V59" s="28" t="s">
        <v>6</v>
      </c>
      <c r="W59" s="28" t="s">
        <v>6</v>
      </c>
      <c r="X59" s="28" t="s">
        <v>6</v>
      </c>
      <c r="Y59" s="158">
        <v>2</v>
      </c>
      <c r="Z59" s="17"/>
      <c r="AA59" s="173">
        <f t="shared" ref="AA59:AA65" si="4">P59/SUM($P$9:$P$70)</f>
        <v>1.3100436681222707E-2</v>
      </c>
      <c r="AB59" s="174">
        <f>Master_Data[[#This Row],[Imp. Level]]/SUMIF(Master_Data[Subject],Master_Data[[#This Row],[Subject]],Master_Data[Imp. Level])</f>
        <v>4.1666666666666664E-2</v>
      </c>
      <c r="AC59" s="157">
        <f>Master_Data[[#This Row],[Subjectwise weights]]*Master_Data[[#This Row],[Confidence Level]]</f>
        <v>8.3333333333333329E-2</v>
      </c>
      <c r="AD59" s="273" t="str">
        <f>Master_Data[[#This Row],[Prac. Book]]</f>
        <v>U</v>
      </c>
      <c r="AE59" s="273" t="str">
        <f>Master_Data[[#This Row],[GARP EOC Ques.]]</f>
        <v>U</v>
      </c>
    </row>
    <row r="60" spans="2:31" ht="27" customHeight="1">
      <c r="B60" s="3">
        <v>52</v>
      </c>
      <c r="C60" s="182" t="str">
        <f ca="1">IF(Master_Data[[#This Row],[Column1]]=0,"",IF(Master_Data[[#This Row],[Column1]]=1,"Current Week",CONCATENATE("Week ",Master_Data[[#This Row],[Column1]])))</f>
        <v>Week 27</v>
      </c>
      <c r="D60" s="3">
        <f ca="1">ROUNDUP(Master_Data[[#This Row],[Column2]]/Working!$C$8,0)</f>
        <v>27</v>
      </c>
      <c r="E60" s="15">
        <f>SUM($F$9:F60)</f>
        <v>4.3242361111111123</v>
      </c>
      <c r="F60" s="27">
        <f>IF(Master_Data[[#This Row],[Lectures]]="D","",Master_Data[[#This Row],[Duration (hh:mm)]])</f>
        <v>5.6053240740740744E-2</v>
      </c>
      <c r="G60" s="2" t="s">
        <v>185</v>
      </c>
      <c r="H60" s="2">
        <v>46</v>
      </c>
      <c r="I60" s="2" t="s">
        <v>96</v>
      </c>
      <c r="J60" s="45" t="s">
        <v>223</v>
      </c>
      <c r="K60" s="16">
        <v>4</v>
      </c>
      <c r="L60" s="44">
        <v>2</v>
      </c>
      <c r="M60" s="44">
        <v>1</v>
      </c>
      <c r="N60" s="44">
        <v>2</v>
      </c>
      <c r="O60" s="44">
        <v>2</v>
      </c>
      <c r="P60" s="44">
        <v>3</v>
      </c>
      <c r="Q60" s="44">
        <v>2</v>
      </c>
      <c r="R60" s="13">
        <v>5.6053240740740744E-2</v>
      </c>
      <c r="S60" s="43">
        <f>(SUM($R$9:R60)/$R$4)*100</f>
        <v>54.508450243936601</v>
      </c>
      <c r="T60" s="28" t="s">
        <v>6</v>
      </c>
      <c r="U60" s="28" t="s">
        <v>6</v>
      </c>
      <c r="V60" s="28" t="s">
        <v>6</v>
      </c>
      <c r="W60" s="28" t="s">
        <v>6</v>
      </c>
      <c r="X60" s="28" t="s">
        <v>6</v>
      </c>
      <c r="Y60" s="158">
        <v>3</v>
      </c>
      <c r="Z60" s="17"/>
      <c r="AA60" s="173">
        <f t="shared" si="4"/>
        <v>1.3100436681222707E-2</v>
      </c>
      <c r="AB60" s="174">
        <f>Master_Data[[#This Row],[Imp. Level]]/SUMIF(Master_Data[Subject],Master_Data[[#This Row],[Subject]],Master_Data[Imp. Level])</f>
        <v>4.1666666666666664E-2</v>
      </c>
      <c r="AC60" s="157">
        <f>Master_Data[[#This Row],[Subjectwise weights]]*Master_Data[[#This Row],[Confidence Level]]</f>
        <v>0.125</v>
      </c>
      <c r="AD60" s="273" t="str">
        <f>Master_Data[[#This Row],[Prac. Book]]</f>
        <v>U</v>
      </c>
      <c r="AE60" s="273" t="str">
        <f>Master_Data[[#This Row],[GARP EOC Ques.]]</f>
        <v>U</v>
      </c>
    </row>
    <row r="61" spans="2:31" ht="27" customHeight="1">
      <c r="B61" s="3">
        <v>53</v>
      </c>
      <c r="C61" s="182" t="str">
        <f ca="1">IF(Master_Data[[#This Row],[Column1]]=0,"",IF(Master_Data[[#This Row],[Column1]]=1,"Current Week",CONCATENATE("Week ",Master_Data[[#This Row],[Column1]])))</f>
        <v>Week 27</v>
      </c>
      <c r="D61" s="3">
        <f ca="1">ROUNDUP(Master_Data[[#This Row],[Column2]]/Working!$C$8,0)</f>
        <v>27</v>
      </c>
      <c r="E61" s="15">
        <f>SUM($F$9:F61)</f>
        <v>4.426319444444446</v>
      </c>
      <c r="F61" s="27">
        <f>IF(Master_Data[[#This Row],[Lectures]]="D","",Master_Data[[#This Row],[Duration (hh:mm)]])</f>
        <v>0.10208333333333333</v>
      </c>
      <c r="G61" s="2" t="s">
        <v>174</v>
      </c>
      <c r="H61" s="2">
        <v>22</v>
      </c>
      <c r="I61" s="2" t="s">
        <v>97</v>
      </c>
      <c r="J61" s="45" t="s">
        <v>247</v>
      </c>
      <c r="K61" s="16">
        <v>4</v>
      </c>
      <c r="L61" s="44">
        <v>2</v>
      </c>
      <c r="M61" s="44">
        <v>1</v>
      </c>
      <c r="N61" s="44">
        <v>3</v>
      </c>
      <c r="O61" s="44">
        <v>3</v>
      </c>
      <c r="P61" s="44">
        <v>3</v>
      </c>
      <c r="Q61" s="44">
        <v>3</v>
      </c>
      <c r="R61" s="13">
        <v>0.10208333333333333</v>
      </c>
      <c r="S61" s="43">
        <f>(SUM($R$9:R61)/$R$4)*100</f>
        <v>55.795244987044512</v>
      </c>
      <c r="T61" s="28" t="s">
        <v>6</v>
      </c>
      <c r="U61" s="28" t="s">
        <v>6</v>
      </c>
      <c r="V61" s="28" t="s">
        <v>6</v>
      </c>
      <c r="W61" s="28" t="s">
        <v>6</v>
      </c>
      <c r="X61" s="28" t="s">
        <v>6</v>
      </c>
      <c r="Y61" s="158">
        <v>3</v>
      </c>
      <c r="Z61" s="17"/>
      <c r="AA61" s="173">
        <f t="shared" si="4"/>
        <v>1.3100436681222707E-2</v>
      </c>
      <c r="AB61" s="174">
        <f>Master_Data[[#This Row],[Imp. Level]]/SUMIF(Master_Data[Subject],Master_Data[[#This Row],[Subject]],Master_Data[Imp. Level])</f>
        <v>3.3707865168539325E-2</v>
      </c>
      <c r="AC61" s="157">
        <f>Master_Data[[#This Row],[Subjectwise weights]]*Master_Data[[#This Row],[Confidence Level]]</f>
        <v>0.10112359550561797</v>
      </c>
      <c r="AD61" s="273" t="str">
        <f>Master_Data[[#This Row],[Prac. Book]]</f>
        <v>U</v>
      </c>
      <c r="AE61" s="273" t="str">
        <f>Master_Data[[#This Row],[GARP EOC Ques.]]</f>
        <v>U</v>
      </c>
    </row>
    <row r="62" spans="2:31" ht="27" customHeight="1">
      <c r="B62" s="3">
        <v>54</v>
      </c>
      <c r="C62" s="182" t="str">
        <f ca="1">IF(Master_Data[[#This Row],[Column1]]=0,"",IF(Master_Data[[#This Row],[Column1]]=1,"Current Week",CONCATENATE("Week ",Master_Data[[#This Row],[Column1]])))</f>
        <v>Week 28</v>
      </c>
      <c r="D62" s="3">
        <f ca="1">ROUNDUP(Master_Data[[#This Row],[Column2]]/Working!$C$8,0)</f>
        <v>28</v>
      </c>
      <c r="E62" s="15">
        <f>SUM($F$9:F62)</f>
        <v>4.4800000000000013</v>
      </c>
      <c r="F62" s="27">
        <f>IF(Master_Data[[#This Row],[Lectures]]="D","",Master_Data[[#This Row],[Duration (hh:mm)]])</f>
        <v>5.3680555555555558E-2</v>
      </c>
      <c r="G62" s="2" t="s">
        <v>174</v>
      </c>
      <c r="H62" s="2">
        <v>23</v>
      </c>
      <c r="I62" s="2" t="s">
        <v>96</v>
      </c>
      <c r="J62" s="45" t="s">
        <v>182</v>
      </c>
      <c r="K62" s="16">
        <v>8</v>
      </c>
      <c r="L62" s="44">
        <v>2</v>
      </c>
      <c r="M62" s="44">
        <v>1</v>
      </c>
      <c r="N62" s="44">
        <v>3</v>
      </c>
      <c r="O62" s="44">
        <v>3</v>
      </c>
      <c r="P62" s="44">
        <v>3</v>
      </c>
      <c r="Q62" s="44">
        <v>3</v>
      </c>
      <c r="R62" s="13">
        <v>5.3680555555555558E-2</v>
      </c>
      <c r="S62" s="43">
        <f>(SUM($R$9:R62)/$R$4)*100</f>
        <v>56.471906440393091</v>
      </c>
      <c r="T62" s="28" t="s">
        <v>6</v>
      </c>
      <c r="U62" s="28" t="s">
        <v>6</v>
      </c>
      <c r="V62" s="28" t="s">
        <v>6</v>
      </c>
      <c r="W62" s="28" t="s">
        <v>6</v>
      </c>
      <c r="X62" s="28" t="s">
        <v>6</v>
      </c>
      <c r="Y62" s="158">
        <v>3</v>
      </c>
      <c r="Z62" s="17"/>
      <c r="AA62" s="173">
        <f t="shared" si="4"/>
        <v>1.3100436681222707E-2</v>
      </c>
      <c r="AB62" s="174">
        <f>Master_Data[[#This Row],[Imp. Level]]/SUMIF(Master_Data[Subject],Master_Data[[#This Row],[Subject]],Master_Data[Imp. Level])</f>
        <v>3.3707865168539325E-2</v>
      </c>
      <c r="AC62" s="157">
        <f>Master_Data[[#This Row],[Subjectwise weights]]*Master_Data[[#This Row],[Confidence Level]]</f>
        <v>0.10112359550561797</v>
      </c>
      <c r="AD62" s="273" t="str">
        <f>Master_Data[[#This Row],[Prac. Book]]</f>
        <v>U</v>
      </c>
      <c r="AE62" s="273" t="str">
        <f>Master_Data[[#This Row],[GARP EOC Ques.]]</f>
        <v>U</v>
      </c>
    </row>
    <row r="63" spans="2:31" ht="27" customHeight="1">
      <c r="B63" s="3">
        <v>55</v>
      </c>
      <c r="C63" s="182" t="str">
        <f ca="1">IF(Master_Data[[#This Row],[Column1]]=0,"",IF(Master_Data[[#This Row],[Column1]]=1,"Current Week",CONCATENATE("Week ",Master_Data[[#This Row],[Column1]])))</f>
        <v>Week 28</v>
      </c>
      <c r="D63" s="3">
        <f ca="1">ROUNDUP(Master_Data[[#This Row],[Column2]]/Working!$C$8,0)</f>
        <v>28</v>
      </c>
      <c r="E63" s="15">
        <f>SUM($F$9:F63)</f>
        <v>4.5751388888888904</v>
      </c>
      <c r="F63" s="27">
        <f>IF(Master_Data[[#This Row],[Lectures]]="D","",Master_Data[[#This Row],[Duration (hh:mm)]])</f>
        <v>9.5138888888888884E-2</v>
      </c>
      <c r="G63" s="2" t="s">
        <v>174</v>
      </c>
      <c r="H63" s="2">
        <v>21</v>
      </c>
      <c r="I63" s="2" t="s">
        <v>95</v>
      </c>
      <c r="J63" s="45" t="s">
        <v>248</v>
      </c>
      <c r="K63" s="16">
        <v>7</v>
      </c>
      <c r="L63" s="44">
        <v>2</v>
      </c>
      <c r="M63" s="44">
        <v>1</v>
      </c>
      <c r="N63" s="44">
        <v>3</v>
      </c>
      <c r="O63" s="44">
        <v>3</v>
      </c>
      <c r="P63" s="44">
        <v>3</v>
      </c>
      <c r="Q63" s="44">
        <v>3</v>
      </c>
      <c r="R63" s="11">
        <v>9.5138888888888884E-2</v>
      </c>
      <c r="S63" s="43">
        <f>(SUM($R$9:R63)/$R$4)*100</f>
        <v>57.671164126146735</v>
      </c>
      <c r="T63" s="28" t="s">
        <v>6</v>
      </c>
      <c r="U63" s="28" t="s">
        <v>6</v>
      </c>
      <c r="V63" s="28" t="s">
        <v>6</v>
      </c>
      <c r="W63" s="28" t="s">
        <v>6</v>
      </c>
      <c r="X63" s="28" t="s">
        <v>6</v>
      </c>
      <c r="Y63" s="158">
        <v>2</v>
      </c>
      <c r="Z63" s="17"/>
      <c r="AA63" s="173">
        <f t="shared" si="4"/>
        <v>1.3100436681222707E-2</v>
      </c>
      <c r="AB63" s="174">
        <f>Master_Data[[#This Row],[Imp. Level]]/SUMIF(Master_Data[Subject],Master_Data[[#This Row],[Subject]],Master_Data[Imp. Level])</f>
        <v>3.3707865168539325E-2</v>
      </c>
      <c r="AC63" s="157">
        <f>Master_Data[[#This Row],[Subjectwise weights]]*Master_Data[[#This Row],[Confidence Level]]</f>
        <v>6.741573033707865E-2</v>
      </c>
      <c r="AD63" s="273" t="str">
        <f>Master_Data[[#This Row],[Prac. Book]]</f>
        <v>U</v>
      </c>
      <c r="AE63" s="273" t="str">
        <f>Master_Data[[#This Row],[GARP EOC Ques.]]</f>
        <v>U</v>
      </c>
    </row>
    <row r="64" spans="2:31" ht="27" customHeight="1">
      <c r="B64" s="3">
        <v>56</v>
      </c>
      <c r="C64" s="182" t="str">
        <f ca="1">IF(Master_Data[[#This Row],[Column1]]=0,"",IF(Master_Data[[#This Row],[Column1]]=1,"Current Week",CONCATENATE("Week ",Master_Data[[#This Row],[Column1]])))</f>
        <v>Week 29</v>
      </c>
      <c r="D64" s="3">
        <f ca="1">ROUNDUP(Master_Data[[#This Row],[Column2]]/Working!$C$8,0)</f>
        <v>29</v>
      </c>
      <c r="E64" s="15">
        <f>SUM($F$9:F64)</f>
        <v>4.6558333333333346</v>
      </c>
      <c r="F64" s="27">
        <f>IF(Master_Data[[#This Row],[Lectures]]="D","",Master_Data[[#This Row],[Duration (hh:mm)]])</f>
        <v>8.0694444444444444E-2</v>
      </c>
      <c r="G64" s="2" t="s">
        <v>174</v>
      </c>
      <c r="H64" s="2">
        <v>27</v>
      </c>
      <c r="I64" s="2" t="s">
        <v>95</v>
      </c>
      <c r="J64" s="45" t="s">
        <v>183</v>
      </c>
      <c r="K64" s="16">
        <v>8</v>
      </c>
      <c r="L64" s="44">
        <v>2</v>
      </c>
      <c r="M64" s="44">
        <v>3</v>
      </c>
      <c r="N64" s="44">
        <v>4</v>
      </c>
      <c r="O64" s="44">
        <v>4</v>
      </c>
      <c r="P64" s="44">
        <v>3</v>
      </c>
      <c r="Q64" s="44">
        <v>3</v>
      </c>
      <c r="R64" s="11">
        <v>8.0694444444444444E-2</v>
      </c>
      <c r="S64" s="43">
        <f>(SUM($R$9:R64)/$R$4)*100</f>
        <v>58.688344732603468</v>
      </c>
      <c r="T64" s="28" t="s">
        <v>6</v>
      </c>
      <c r="U64" s="28" t="s">
        <v>6</v>
      </c>
      <c r="V64" s="28" t="s">
        <v>6</v>
      </c>
      <c r="W64" s="28" t="s">
        <v>6</v>
      </c>
      <c r="X64" s="28" t="s">
        <v>6</v>
      </c>
      <c r="Y64" s="158">
        <v>2</v>
      </c>
      <c r="Z64" s="17"/>
      <c r="AA64" s="173">
        <f t="shared" si="4"/>
        <v>1.3100436681222707E-2</v>
      </c>
      <c r="AB64" s="174">
        <f>Master_Data[[#This Row],[Imp. Level]]/SUMIF(Master_Data[Subject],Master_Data[[#This Row],[Subject]],Master_Data[Imp. Level])</f>
        <v>3.3707865168539325E-2</v>
      </c>
      <c r="AC64" s="157">
        <f>Master_Data[[#This Row],[Subjectwise weights]]*Master_Data[[#This Row],[Confidence Level]]</f>
        <v>6.741573033707865E-2</v>
      </c>
      <c r="AD64" s="273" t="str">
        <f>Master_Data[[#This Row],[Prac. Book]]</f>
        <v>U</v>
      </c>
      <c r="AE64" s="273" t="str">
        <f>Master_Data[[#This Row],[GARP EOC Ques.]]</f>
        <v>U</v>
      </c>
    </row>
    <row r="65" spans="2:31" ht="27" customHeight="1">
      <c r="B65" s="3">
        <v>57</v>
      </c>
      <c r="C65" s="182" t="str">
        <f ca="1">IF(Master_Data[[#This Row],[Column1]]=0,"",IF(Master_Data[[#This Row],[Column1]]=1,"Current Week",CONCATENATE("Week ",Master_Data[[#This Row],[Column1]])))</f>
        <v>Week 30</v>
      </c>
      <c r="D65" s="3">
        <f ca="1">ROUNDUP(Master_Data[[#This Row],[Column2]]/Working!$C$8,0)</f>
        <v>30</v>
      </c>
      <c r="E65" s="15">
        <f>SUM($F$9:F65)</f>
        <v>4.8333101851851863</v>
      </c>
      <c r="F65" s="27">
        <f>IF(Master_Data[[#This Row],[Lectures]]="D","",Master_Data[[#This Row],[Duration (hh:mm)]])</f>
        <v>0.17747685185185183</v>
      </c>
      <c r="G65" s="2" t="s">
        <v>174</v>
      </c>
      <c r="H65" s="2">
        <v>28</v>
      </c>
      <c r="I65" s="2" t="s">
        <v>95</v>
      </c>
      <c r="J65" s="45" t="s">
        <v>184</v>
      </c>
      <c r="K65" s="16">
        <v>13</v>
      </c>
      <c r="L65" s="44">
        <v>4</v>
      </c>
      <c r="M65" s="44">
        <v>2</v>
      </c>
      <c r="N65" s="44">
        <v>4</v>
      </c>
      <c r="O65" s="44">
        <v>4</v>
      </c>
      <c r="P65" s="44">
        <v>4</v>
      </c>
      <c r="Q65" s="44">
        <v>3</v>
      </c>
      <c r="R65" s="12">
        <v>0.17747685185185183</v>
      </c>
      <c r="S65" s="43">
        <f>(SUM($R$9:R65)/$R$4)*100</f>
        <v>60.925500128387675</v>
      </c>
      <c r="T65" s="28" t="s">
        <v>6</v>
      </c>
      <c r="U65" s="28" t="s">
        <v>6</v>
      </c>
      <c r="V65" s="28" t="s">
        <v>6</v>
      </c>
      <c r="W65" s="28" t="s">
        <v>6</v>
      </c>
      <c r="X65" s="28" t="s">
        <v>6</v>
      </c>
      <c r="Y65" s="158">
        <v>3</v>
      </c>
      <c r="Z65" s="17"/>
      <c r="AA65" s="173">
        <f t="shared" si="4"/>
        <v>1.7467248908296942E-2</v>
      </c>
      <c r="AB65" s="174">
        <f>Master_Data[[#This Row],[Imp. Level]]/SUMIF(Master_Data[Subject],Master_Data[[#This Row],[Subject]],Master_Data[Imp. Level])</f>
        <v>4.49438202247191E-2</v>
      </c>
      <c r="AC65" s="157">
        <f>Master_Data[[#This Row],[Subjectwise weights]]*Master_Data[[#This Row],[Confidence Level]]</f>
        <v>0.1348314606741573</v>
      </c>
      <c r="AD65" s="273" t="str">
        <f>Master_Data[[#This Row],[Prac. Book]]</f>
        <v>U</v>
      </c>
      <c r="AE65" s="273" t="str">
        <f>Master_Data[[#This Row],[GARP EOC Ques.]]</f>
        <v>U</v>
      </c>
    </row>
    <row r="66" spans="2:31" ht="26.25" customHeight="1">
      <c r="B66" s="3">
        <v>58</v>
      </c>
      <c r="C66" s="182" t="str">
        <f ca="1">IF(Master_Data[[#This Row],[Column1]]=0,"",IF(Master_Data[[#This Row],[Column1]]=1,"Current Week",CONCATENATE("Week ",Master_Data[[#This Row],[Column1]])))</f>
        <v>Week 31</v>
      </c>
      <c r="D66" s="3">
        <f ca="1">ROUNDUP(Master_Data[[#This Row],[Column2]]/Working!$C$8,0)</f>
        <v>31</v>
      </c>
      <c r="E66" s="151">
        <f>SUM($F$9:F66)</f>
        <v>4.9749768518518529</v>
      </c>
      <c r="F66" s="27">
        <f>IF(Master_Data[[#This Row],[Lectures]]="D","",Master_Data[[#This Row],[Duration (hh:mm)]])</f>
        <v>0.14166666666666666</v>
      </c>
      <c r="G66" s="2" t="s">
        <v>174</v>
      </c>
      <c r="H66" s="2">
        <v>24</v>
      </c>
      <c r="I66" s="2" t="s">
        <v>97</v>
      </c>
      <c r="J66" s="45" t="s">
        <v>249</v>
      </c>
      <c r="K66" s="16">
        <v>7</v>
      </c>
      <c r="L66" s="44">
        <v>3</v>
      </c>
      <c r="M66" s="44">
        <v>2</v>
      </c>
      <c r="N66" s="44">
        <v>3</v>
      </c>
      <c r="O66" s="44">
        <v>4</v>
      </c>
      <c r="P66" s="44">
        <v>4</v>
      </c>
      <c r="Q66" s="44">
        <v>3</v>
      </c>
      <c r="R66" s="11">
        <v>0.14166666666666666</v>
      </c>
      <c r="S66" s="43">
        <f>(SUM($R$9:R66)/$R$4)*100</f>
        <v>62.711256098414992</v>
      </c>
      <c r="T66" s="28" t="s">
        <v>6</v>
      </c>
      <c r="U66" s="28" t="s">
        <v>6</v>
      </c>
      <c r="V66" s="28" t="s">
        <v>6</v>
      </c>
      <c r="W66" s="28" t="s">
        <v>6</v>
      </c>
      <c r="X66" s="28" t="s">
        <v>6</v>
      </c>
      <c r="Y66" s="158">
        <v>3</v>
      </c>
      <c r="Z66" s="19"/>
      <c r="AA66" s="173">
        <f>P66/SUM($P$9:$P$111)</f>
        <v>1.1235955056179775E-2</v>
      </c>
      <c r="AB66" s="174">
        <f>Master_Data[[#This Row],[Imp. Level]]/SUMIF(Master_Data[Subject],Master_Data[[#This Row],[Subject]],Master_Data[Imp. Level])</f>
        <v>4.49438202247191E-2</v>
      </c>
      <c r="AC66" s="157">
        <f>Master_Data[[#This Row],[Subjectwise weights]]*Master_Data[[#This Row],[Confidence Level]]</f>
        <v>0.1348314606741573</v>
      </c>
      <c r="AD66" s="273" t="str">
        <f>Master_Data[[#This Row],[Prac. Book]]</f>
        <v>U</v>
      </c>
      <c r="AE66" s="273" t="str">
        <f>Master_Data[[#This Row],[GARP EOC Ques.]]</f>
        <v>U</v>
      </c>
    </row>
    <row r="67" spans="2:31" ht="26.25" customHeight="1">
      <c r="B67" s="3">
        <v>59</v>
      </c>
      <c r="C67" s="182" t="str">
        <f ca="1">IF(Master_Data[[#This Row],[Column1]]=0,"",IF(Master_Data[[#This Row],[Column1]]=1,"Current Week",CONCATENATE("Week ",Master_Data[[#This Row],[Column1]])))</f>
        <v>Week 31</v>
      </c>
      <c r="D67" s="3">
        <f ca="1">ROUNDUP(Master_Data[[#This Row],[Column2]]/Working!$C$8,0)</f>
        <v>31</v>
      </c>
      <c r="E67" s="15">
        <f>SUM($F$9:F67)</f>
        <v>5.090949074074075</v>
      </c>
      <c r="F67" s="27">
        <f>IF(Master_Data[[#This Row],[Lectures]]="D","",Master_Data[[#This Row],[Duration (hh:mm)]])</f>
        <v>0.11597222222222223</v>
      </c>
      <c r="G67" s="2" t="s">
        <v>174</v>
      </c>
      <c r="H67" s="2">
        <v>35</v>
      </c>
      <c r="I67" s="2" t="s">
        <v>97</v>
      </c>
      <c r="J67" s="45" t="s">
        <v>250</v>
      </c>
      <c r="K67" s="16">
        <v>10</v>
      </c>
      <c r="L67" s="44">
        <v>3</v>
      </c>
      <c r="M67" s="44">
        <v>2</v>
      </c>
      <c r="N67" s="44">
        <v>3</v>
      </c>
      <c r="O67" s="44">
        <v>4</v>
      </c>
      <c r="P67" s="44">
        <v>4</v>
      </c>
      <c r="Q67" s="44">
        <v>3</v>
      </c>
      <c r="R67" s="178">
        <v>0.11597222222222223</v>
      </c>
      <c r="S67" s="43">
        <f>(SUM($R$9:R67)/$R$4)*100</f>
        <v>64.173124956231462</v>
      </c>
      <c r="T67" s="28" t="s">
        <v>6</v>
      </c>
      <c r="U67" s="28" t="s">
        <v>6</v>
      </c>
      <c r="V67" s="28" t="s">
        <v>6</v>
      </c>
      <c r="W67" s="28" t="s">
        <v>6</v>
      </c>
      <c r="X67" s="28" t="s">
        <v>6</v>
      </c>
      <c r="Y67" s="158">
        <v>3</v>
      </c>
      <c r="Z67" s="17"/>
      <c r="AA67" s="173">
        <f t="shared" ref="AA67:AA74" si="5">P67/SUM($P$9:$P$70)</f>
        <v>1.7467248908296942E-2</v>
      </c>
      <c r="AB67" s="174">
        <f>Master_Data[[#This Row],[Imp. Level]]/SUMIF(Master_Data[Subject],Master_Data[[#This Row],[Subject]],Master_Data[Imp. Level])</f>
        <v>4.49438202247191E-2</v>
      </c>
      <c r="AC67" s="157">
        <f>Master_Data[[#This Row],[Subjectwise weights]]*Master_Data[[#This Row],[Confidence Level]]</f>
        <v>0.1348314606741573</v>
      </c>
      <c r="AD67" s="273" t="str">
        <f>Master_Data[[#This Row],[Prac. Book]]</f>
        <v>U</v>
      </c>
      <c r="AE67" s="273" t="str">
        <f>Master_Data[[#This Row],[GARP EOC Ques.]]</f>
        <v>U</v>
      </c>
    </row>
    <row r="68" spans="2:31" ht="26.45" customHeight="1">
      <c r="B68" s="3">
        <v>60</v>
      </c>
      <c r="C68" s="182" t="str">
        <f ca="1">IF(Master_Data[[#This Row],[Column1]]=0,"",IF(Master_Data[[#This Row],[Column1]]=1,"Current Week",CONCATENATE("Week ",Master_Data[[#This Row],[Column1]])))</f>
        <v>Week 32</v>
      </c>
      <c r="D68" s="3">
        <f ca="1">ROUNDUP(Master_Data[[#This Row],[Column2]]/Working!$C$8,0)</f>
        <v>32</v>
      </c>
      <c r="E68" s="15">
        <f>SUM($F$9:F68)</f>
        <v>5.2233449074074088</v>
      </c>
      <c r="F68" s="27">
        <f>IF(Master_Data[[#This Row],[Lectures]]="D","",Master_Data[[#This Row],[Duration (hh:mm)]])</f>
        <v>0.13239583333333335</v>
      </c>
      <c r="G68" s="2" t="s">
        <v>185</v>
      </c>
      <c r="H68" s="2">
        <v>60</v>
      </c>
      <c r="I68" s="2" t="s">
        <v>96</v>
      </c>
      <c r="J68" s="45" t="s">
        <v>189</v>
      </c>
      <c r="K68" s="22">
        <v>8</v>
      </c>
      <c r="L68" s="44">
        <v>4</v>
      </c>
      <c r="M68" s="44">
        <v>2</v>
      </c>
      <c r="N68" s="44">
        <v>3</v>
      </c>
      <c r="O68" s="44">
        <v>3</v>
      </c>
      <c r="P68" s="44">
        <v>4</v>
      </c>
      <c r="Q68" s="44">
        <v>4</v>
      </c>
      <c r="R68" s="178">
        <v>0.13239583333333335</v>
      </c>
      <c r="S68" s="43">
        <f>(SUM($R$9:R68)/$R$4)*100</f>
        <v>65.842018954690815</v>
      </c>
      <c r="T68" s="28" t="s">
        <v>6</v>
      </c>
      <c r="U68" s="28" t="s">
        <v>6</v>
      </c>
      <c r="V68" s="28" t="s">
        <v>6</v>
      </c>
      <c r="W68" s="28" t="s">
        <v>6</v>
      </c>
      <c r="X68" s="28" t="s">
        <v>6</v>
      </c>
      <c r="Y68" s="158">
        <v>2</v>
      </c>
      <c r="Z68" s="17"/>
      <c r="AA68" s="173">
        <f t="shared" si="5"/>
        <v>1.7467248908296942E-2</v>
      </c>
      <c r="AB68" s="174">
        <f>Master_Data[[#This Row],[Imp. Level]]/SUMIF(Master_Data[Subject],Master_Data[[#This Row],[Subject]],Master_Data[Imp. Level])</f>
        <v>5.5555555555555552E-2</v>
      </c>
      <c r="AC68" s="157">
        <f>Master_Data[[#This Row],[Subjectwise weights]]*Master_Data[[#This Row],[Confidence Level]]</f>
        <v>0.1111111111111111</v>
      </c>
      <c r="AD68" s="273" t="str">
        <f>Master_Data[[#This Row],[Prac. Book]]</f>
        <v>U</v>
      </c>
      <c r="AE68" s="273" t="str">
        <f>Master_Data[[#This Row],[GARP EOC Ques.]]</f>
        <v>U</v>
      </c>
    </row>
    <row r="69" spans="2:31" ht="26.45" customHeight="1">
      <c r="B69" s="3">
        <v>61</v>
      </c>
      <c r="C69" s="182" t="str">
        <f ca="1">IF(Master_Data[[#This Row],[Column1]]=0,"",IF(Master_Data[[#This Row],[Column1]]=1,"Current Week",CONCATENATE("Week ",Master_Data[[#This Row],[Column1]])))</f>
        <v>Week 33</v>
      </c>
      <c r="D69" s="3">
        <f ca="1">ROUNDUP(Master_Data[[#This Row],[Column2]]/Working!$C$8,0)</f>
        <v>33</v>
      </c>
      <c r="E69" s="15">
        <f>SUM($F$9:F69)</f>
        <v>5.3141550925925936</v>
      </c>
      <c r="F69" s="27">
        <f>IF(Master_Data[[#This Row],[Lectures]]="D","",Master_Data[[#This Row],[Duration (hh:mm)]])</f>
        <v>9.0810185185185188E-2</v>
      </c>
      <c r="G69" s="2" t="s">
        <v>185</v>
      </c>
      <c r="H69" s="2">
        <v>57</v>
      </c>
      <c r="I69" s="2" t="s">
        <v>96</v>
      </c>
      <c r="J69" s="45" t="s">
        <v>190</v>
      </c>
      <c r="K69" s="177">
        <v>8</v>
      </c>
      <c r="L69" s="152">
        <v>3</v>
      </c>
      <c r="M69" s="153">
        <v>2</v>
      </c>
      <c r="N69" s="153">
        <v>3</v>
      </c>
      <c r="O69" s="153">
        <v>3</v>
      </c>
      <c r="P69" s="153">
        <v>5</v>
      </c>
      <c r="Q69" s="154">
        <v>4</v>
      </c>
      <c r="R69" s="23">
        <v>9.0810185185185188E-2</v>
      </c>
      <c r="S69" s="43">
        <f>(SUM($R$9:R69)/$R$4)*100</f>
        <v>66.986711874693611</v>
      </c>
      <c r="T69" s="28" t="s">
        <v>6</v>
      </c>
      <c r="U69" s="28" t="s">
        <v>6</v>
      </c>
      <c r="V69" s="28" t="s">
        <v>6</v>
      </c>
      <c r="W69" s="28" t="s">
        <v>6</v>
      </c>
      <c r="X69" s="28" t="s">
        <v>6</v>
      </c>
      <c r="Y69" s="158">
        <v>3</v>
      </c>
      <c r="Z69" s="17"/>
      <c r="AA69" s="173">
        <f t="shared" si="5"/>
        <v>2.1834061135371178E-2</v>
      </c>
      <c r="AB69" s="174">
        <f>Master_Data[[#This Row],[Imp. Level]]/SUMIF(Master_Data[Subject],Master_Data[[#This Row],[Subject]],Master_Data[Imp. Level])</f>
        <v>6.9444444444444448E-2</v>
      </c>
      <c r="AC69" s="157">
        <f>Master_Data[[#This Row],[Subjectwise weights]]*Master_Data[[#This Row],[Confidence Level]]</f>
        <v>0.20833333333333334</v>
      </c>
      <c r="AD69" s="273" t="str">
        <f>Master_Data[[#This Row],[Prac. Book]]</f>
        <v>U</v>
      </c>
      <c r="AE69" s="273" t="str">
        <f>Master_Data[[#This Row],[GARP EOC Ques.]]</f>
        <v>U</v>
      </c>
    </row>
    <row r="70" spans="2:31" ht="27" customHeight="1">
      <c r="B70" s="3">
        <v>62</v>
      </c>
      <c r="C70" s="182" t="str">
        <f ca="1">IF(Master_Data[[#This Row],[Column1]]=0,"",IF(Master_Data[[#This Row],[Column1]]=1,"Current Week",CONCATENATE("Week ",Master_Data[[#This Row],[Column1]])))</f>
        <v>Week 33</v>
      </c>
      <c r="D70" s="3">
        <f ca="1">ROUNDUP(Master_Data[[#This Row],[Column2]]/Working!$C$8,0)</f>
        <v>33</v>
      </c>
      <c r="E70" s="15">
        <f>SUM($F$9:F70)</f>
        <v>5.343229166666668</v>
      </c>
      <c r="F70" s="27">
        <f>IF(Master_Data[[#This Row],[Lectures]]="D","",Master_Data[[#This Row],[Duration (hh:mm)]])</f>
        <v>2.9074074074074075E-2</v>
      </c>
      <c r="G70" s="2" t="s">
        <v>185</v>
      </c>
      <c r="H70" s="2">
        <v>51</v>
      </c>
      <c r="I70" s="2" t="s">
        <v>96</v>
      </c>
      <c r="J70" s="45" t="s">
        <v>191</v>
      </c>
      <c r="K70" s="177">
        <v>3</v>
      </c>
      <c r="L70" s="152">
        <v>2</v>
      </c>
      <c r="M70" s="153">
        <v>1</v>
      </c>
      <c r="N70" s="153">
        <v>2</v>
      </c>
      <c r="O70" s="153">
        <v>2</v>
      </c>
      <c r="P70" s="153">
        <v>3</v>
      </c>
      <c r="Q70" s="154">
        <v>3</v>
      </c>
      <c r="R70" s="27">
        <v>2.9074074074074075E-2</v>
      </c>
      <c r="S70" s="43">
        <f>(SUM($R$9:R70)/$R$4)*100</f>
        <v>67.353200354816863</v>
      </c>
      <c r="T70" s="28" t="s">
        <v>6</v>
      </c>
      <c r="U70" s="28" t="s">
        <v>6</v>
      </c>
      <c r="V70" s="28" t="s">
        <v>6</v>
      </c>
      <c r="W70" s="28" t="s">
        <v>6</v>
      </c>
      <c r="X70" s="28" t="s">
        <v>6</v>
      </c>
      <c r="Y70" s="158">
        <v>3</v>
      </c>
      <c r="Z70" s="17"/>
      <c r="AA70" s="173">
        <f t="shared" si="5"/>
        <v>1.3100436681222707E-2</v>
      </c>
      <c r="AB70" s="174">
        <f>Master_Data[[#This Row],[Imp. Level]]/SUMIF(Master_Data[Subject],Master_Data[[#This Row],[Subject]],Master_Data[Imp. Level])</f>
        <v>4.1666666666666664E-2</v>
      </c>
      <c r="AC70" s="157">
        <f>Master_Data[[#This Row],[Subjectwise weights]]*Master_Data[[#This Row],[Confidence Level]]</f>
        <v>0.125</v>
      </c>
      <c r="AD70" s="273" t="str">
        <f>Master_Data[[#This Row],[Prac. Book]]</f>
        <v>U</v>
      </c>
      <c r="AE70" s="273" t="str">
        <f>Master_Data[[#This Row],[GARP EOC Ques.]]</f>
        <v>U</v>
      </c>
    </row>
    <row r="71" spans="2:31" ht="27" customHeight="1">
      <c r="B71" s="3">
        <v>63</v>
      </c>
      <c r="C71" s="182" t="str">
        <f ca="1">IF(Master_Data[[#This Row],[Column1]]=0,"",IF(Master_Data[[#This Row],[Column1]]=1,"Current Week",CONCATENATE("Week ",Master_Data[[#This Row],[Column1]])))</f>
        <v>Week 33</v>
      </c>
      <c r="D71" s="3">
        <f ca="1">ROUNDUP(Master_Data[[#This Row],[Column2]]/Working!$C$8,0)</f>
        <v>33</v>
      </c>
      <c r="E71" s="15">
        <f>SUM($F$9:F71)</f>
        <v>5.3754861111111127</v>
      </c>
      <c r="F71" s="27">
        <f>IF(Master_Data[[#This Row],[Lectures]]="D","",Master_Data[[#This Row],[Duration (hh:mm)]])</f>
        <v>3.2256944444444442E-2</v>
      </c>
      <c r="G71" s="2" t="s">
        <v>185</v>
      </c>
      <c r="H71" s="2">
        <v>52</v>
      </c>
      <c r="I71" s="2" t="s">
        <v>95</v>
      </c>
      <c r="J71" s="45" t="s">
        <v>251</v>
      </c>
      <c r="K71" s="177">
        <v>2</v>
      </c>
      <c r="L71" s="44">
        <v>2</v>
      </c>
      <c r="M71" s="44">
        <v>1</v>
      </c>
      <c r="N71" s="44">
        <v>2</v>
      </c>
      <c r="O71" s="44">
        <v>2</v>
      </c>
      <c r="P71" s="44">
        <v>2</v>
      </c>
      <c r="Q71" s="44">
        <v>2</v>
      </c>
      <c r="R71" s="27">
        <v>3.2256944444444442E-2</v>
      </c>
      <c r="S71" s="43">
        <f>(SUM($R$9:R71)/$R$4)*100</f>
        <v>67.759809986227509</v>
      </c>
      <c r="T71" s="28" t="s">
        <v>6</v>
      </c>
      <c r="U71" s="28" t="s">
        <v>6</v>
      </c>
      <c r="V71" s="28" t="s">
        <v>6</v>
      </c>
      <c r="W71" s="28" t="s">
        <v>6</v>
      </c>
      <c r="X71" s="28" t="s">
        <v>6</v>
      </c>
      <c r="Y71" s="158">
        <v>3</v>
      </c>
      <c r="Z71" s="17"/>
      <c r="AA71" s="173">
        <f t="shared" si="5"/>
        <v>8.7336244541484712E-3</v>
      </c>
      <c r="AB71" s="174">
        <f>Master_Data[[#This Row],[Imp. Level]]/SUMIF(Master_Data[Subject],Master_Data[[#This Row],[Subject]],Master_Data[Imp. Level])</f>
        <v>2.7777777777777776E-2</v>
      </c>
      <c r="AC71" s="157">
        <f>Master_Data[[#This Row],[Subjectwise weights]]*Master_Data[[#This Row],[Confidence Level]]</f>
        <v>8.3333333333333329E-2</v>
      </c>
      <c r="AD71" s="273" t="str">
        <f>Master_Data[[#This Row],[Prac. Book]]</f>
        <v>U</v>
      </c>
      <c r="AE71" s="273" t="str">
        <f>Master_Data[[#This Row],[GARP EOC Ques.]]</f>
        <v>U</v>
      </c>
    </row>
    <row r="72" spans="2:31" ht="27" customHeight="1">
      <c r="B72" s="3">
        <v>64</v>
      </c>
      <c r="C72" s="182" t="str">
        <f ca="1">IF(Master_Data[[#This Row],[Column1]]=0,"",IF(Master_Data[[#This Row],[Column1]]=1,"Current Week",CONCATENATE("Week ",Master_Data[[#This Row],[Column1]])))</f>
        <v>Week 34</v>
      </c>
      <c r="D72" s="3">
        <f ca="1">ROUNDUP(Master_Data[[#This Row],[Column2]]/Working!$C$8,0)</f>
        <v>34</v>
      </c>
      <c r="E72" s="15">
        <f>SUM($F$9:F72)</f>
        <v>5.4852662037037057</v>
      </c>
      <c r="F72" s="27">
        <f>IF(Master_Data[[#This Row],[Lectures]]="D","",Master_Data[[#This Row],[Duration (hh:mm)]])</f>
        <v>0.1097800925925926</v>
      </c>
      <c r="G72" s="2" t="s">
        <v>186</v>
      </c>
      <c r="H72" s="2">
        <v>67</v>
      </c>
      <c r="I72" s="2" t="s">
        <v>96</v>
      </c>
      <c r="J72" s="45" t="s">
        <v>192</v>
      </c>
      <c r="K72" s="177">
        <v>3</v>
      </c>
      <c r="L72" s="152">
        <v>4</v>
      </c>
      <c r="M72" s="153">
        <v>2</v>
      </c>
      <c r="N72" s="153">
        <v>3</v>
      </c>
      <c r="O72" s="153">
        <v>4</v>
      </c>
      <c r="P72" s="153">
        <v>4</v>
      </c>
      <c r="Q72" s="154">
        <v>4</v>
      </c>
      <c r="R72" s="178">
        <v>0.1097800925925926</v>
      </c>
      <c r="S72" s="43">
        <f>(SUM($R$9:R72)/$R$4)*100</f>
        <v>69.143624967903079</v>
      </c>
      <c r="T72" s="28" t="s">
        <v>6</v>
      </c>
      <c r="U72" s="28" t="s">
        <v>6</v>
      </c>
      <c r="V72" s="28" t="s">
        <v>6</v>
      </c>
      <c r="W72" s="28" t="s">
        <v>6</v>
      </c>
      <c r="X72" s="28" t="s">
        <v>6</v>
      </c>
      <c r="Y72" s="158">
        <v>3</v>
      </c>
      <c r="Z72" s="17"/>
      <c r="AA72" s="173">
        <f t="shared" si="5"/>
        <v>1.7467248908296942E-2</v>
      </c>
      <c r="AB72" s="174">
        <f>Master_Data[[#This Row],[Imp. Level]]/SUMIF(Master_Data[Subject],Master_Data[[#This Row],[Subject]],Master_Data[Imp. Level])</f>
        <v>5.9701492537313432E-2</v>
      </c>
      <c r="AC72" s="157">
        <f>Master_Data[[#This Row],[Subjectwise weights]]*Master_Data[[#This Row],[Confidence Level]]</f>
        <v>0.17910447761194029</v>
      </c>
      <c r="AD72" s="273" t="str">
        <f>Master_Data[[#This Row],[Prac. Book]]</f>
        <v>U</v>
      </c>
      <c r="AE72" s="273" t="str">
        <f>Master_Data[[#This Row],[GARP EOC Ques.]]</f>
        <v>U</v>
      </c>
    </row>
    <row r="73" spans="2:31" ht="27" customHeight="1">
      <c r="B73" s="3">
        <v>65</v>
      </c>
      <c r="C73" s="182" t="str">
        <f ca="1">IF(Master_Data[[#This Row],[Column1]]=0,"",IF(Master_Data[[#This Row],[Column1]]=1,"Current Week",CONCATENATE("Week ",Master_Data[[#This Row],[Column1]])))</f>
        <v>Week 34</v>
      </c>
      <c r="D73" s="3">
        <f ca="1">ROUNDUP(Master_Data[[#This Row],[Column2]]/Working!$C$8,0)</f>
        <v>34</v>
      </c>
      <c r="E73" s="15">
        <f>SUM($F$9:F73)</f>
        <v>5.5996296296296313</v>
      </c>
      <c r="F73" s="27">
        <f>IF(Master_Data[[#This Row],[Lectures]]="D","",Master_Data[[#This Row],[Duration (hh:mm)]])</f>
        <v>0.11436342592592592</v>
      </c>
      <c r="G73" s="2" t="s">
        <v>186</v>
      </c>
      <c r="H73" s="2">
        <v>68</v>
      </c>
      <c r="I73" s="2" t="s">
        <v>96</v>
      </c>
      <c r="J73" s="45" t="s">
        <v>252</v>
      </c>
      <c r="K73" s="177">
        <v>5</v>
      </c>
      <c r="L73" s="152">
        <v>4</v>
      </c>
      <c r="M73" s="153">
        <v>2</v>
      </c>
      <c r="N73" s="153">
        <v>4</v>
      </c>
      <c r="O73" s="153">
        <v>4</v>
      </c>
      <c r="P73" s="153">
        <v>3</v>
      </c>
      <c r="Q73" s="154">
        <v>4</v>
      </c>
      <c r="R73" s="178">
        <v>0.11436342592592592</v>
      </c>
      <c r="S73" s="43">
        <f>(SUM($R$9:R73)/$R$4)*100</f>
        <v>70.585214407432474</v>
      </c>
      <c r="T73" s="28" t="s">
        <v>6</v>
      </c>
      <c r="U73" s="28" t="s">
        <v>6</v>
      </c>
      <c r="V73" s="28" t="s">
        <v>6</v>
      </c>
      <c r="W73" s="28" t="s">
        <v>6</v>
      </c>
      <c r="X73" s="28" t="s">
        <v>6</v>
      </c>
      <c r="Y73" s="158">
        <v>3</v>
      </c>
      <c r="Z73" s="17"/>
      <c r="AA73" s="173">
        <f t="shared" si="5"/>
        <v>1.3100436681222707E-2</v>
      </c>
      <c r="AB73" s="174">
        <f>Master_Data[[#This Row],[Imp. Level]]/SUMIF(Master_Data[Subject],Master_Data[[#This Row],[Subject]],Master_Data[Imp. Level])</f>
        <v>4.4776119402985072E-2</v>
      </c>
      <c r="AC73" s="157">
        <f>Master_Data[[#This Row],[Subjectwise weights]]*Master_Data[[#This Row],[Confidence Level]]</f>
        <v>0.13432835820895522</v>
      </c>
      <c r="AD73" s="273" t="str">
        <f>Master_Data[[#This Row],[Prac. Book]]</f>
        <v>U</v>
      </c>
      <c r="AE73" s="273" t="str">
        <f>Master_Data[[#This Row],[GARP EOC Ques.]]</f>
        <v>U</v>
      </c>
    </row>
    <row r="74" spans="2:31" ht="27" customHeight="1">
      <c r="B74" s="3">
        <v>66</v>
      </c>
      <c r="C74" s="182" t="str">
        <f ca="1">IF(Master_Data[[#This Row],[Column1]]=0,"",IF(Master_Data[[#This Row],[Column1]]=1,"Current Week",CONCATENATE("Week ",Master_Data[[#This Row],[Column1]])))</f>
        <v>Week 35</v>
      </c>
      <c r="D74" s="3">
        <f ca="1">ROUNDUP(Master_Data[[#This Row],[Column2]]/Working!$C$8,0)</f>
        <v>35</v>
      </c>
      <c r="E74" s="15">
        <f>SUM($F$9:F74)</f>
        <v>5.6697337962962981</v>
      </c>
      <c r="F74" s="27">
        <f>IF(Master_Data[[#This Row],[Lectures]]="D","",Master_Data[[#This Row],[Duration (hh:mm)]])</f>
        <v>7.0104166666666676E-2</v>
      </c>
      <c r="G74" s="2" t="s">
        <v>186</v>
      </c>
      <c r="H74" s="2">
        <v>69</v>
      </c>
      <c r="I74" s="2" t="s">
        <v>96</v>
      </c>
      <c r="J74" s="45" t="s">
        <v>193</v>
      </c>
      <c r="K74" s="177">
        <v>3</v>
      </c>
      <c r="L74" s="152">
        <v>3</v>
      </c>
      <c r="M74" s="153">
        <v>1</v>
      </c>
      <c r="N74" s="153">
        <v>3</v>
      </c>
      <c r="O74" s="153">
        <v>3</v>
      </c>
      <c r="P74" s="153">
        <v>3</v>
      </c>
      <c r="Q74" s="154">
        <v>3</v>
      </c>
      <c r="R74" s="178">
        <v>7.0104166666666676E-2</v>
      </c>
      <c r="S74" s="43">
        <f>(SUM($R$9:R74)/$R$4)*100</f>
        <v>71.46890100142393</v>
      </c>
      <c r="T74" s="28" t="s">
        <v>6</v>
      </c>
      <c r="U74" s="28" t="s">
        <v>6</v>
      </c>
      <c r="V74" s="28" t="s">
        <v>6</v>
      </c>
      <c r="W74" s="28" t="s">
        <v>6</v>
      </c>
      <c r="X74" s="28" t="s">
        <v>6</v>
      </c>
      <c r="Y74" s="158">
        <v>2</v>
      </c>
      <c r="Z74" s="17"/>
      <c r="AA74" s="173">
        <f t="shared" si="5"/>
        <v>1.3100436681222707E-2</v>
      </c>
      <c r="AB74" s="174">
        <f>Master_Data[[#This Row],[Imp. Level]]/SUMIF(Master_Data[Subject],Master_Data[[#This Row],[Subject]],Master_Data[Imp. Level])</f>
        <v>4.4776119402985072E-2</v>
      </c>
      <c r="AC74" s="157">
        <f>Master_Data[[#This Row],[Subjectwise weights]]*Master_Data[[#This Row],[Confidence Level]]</f>
        <v>8.9552238805970144E-2</v>
      </c>
      <c r="AD74" s="273" t="str">
        <f>Master_Data[[#This Row],[Prac. Book]]</f>
        <v>U</v>
      </c>
      <c r="AE74" s="273" t="str">
        <f>Master_Data[[#This Row],[GARP EOC Ques.]]</f>
        <v>U</v>
      </c>
    </row>
    <row r="75" spans="2:31" ht="27" customHeight="1">
      <c r="B75" s="3">
        <v>67</v>
      </c>
      <c r="C75" s="182" t="str">
        <f ca="1">IF(Master_Data[[#This Row],[Column1]]=0,"",IF(Master_Data[[#This Row],[Column1]]=1,"Current Week",CONCATENATE("Week ",Master_Data[[#This Row],[Column1]])))</f>
        <v>Week 35</v>
      </c>
      <c r="D75" s="3">
        <f ca="1">ROUNDUP(Master_Data[[#This Row],[Column2]]/Working!$C$8,0)</f>
        <v>35</v>
      </c>
      <c r="E75" s="151">
        <f>SUM($F$9:F75)</f>
        <v>5.7530902777777797</v>
      </c>
      <c r="F75" s="27">
        <f>IF(Master_Data[[#This Row],[Lectures]]="D","",Master_Data[[#This Row],[Duration (hh:mm)]])</f>
        <v>8.335648148148149E-2</v>
      </c>
      <c r="G75" s="2" t="s">
        <v>186</v>
      </c>
      <c r="H75" s="2">
        <v>70</v>
      </c>
      <c r="I75" s="2" t="s">
        <v>96</v>
      </c>
      <c r="J75" s="45" t="s">
        <v>194</v>
      </c>
      <c r="K75" s="177">
        <v>5</v>
      </c>
      <c r="L75" s="152">
        <v>3</v>
      </c>
      <c r="M75" s="153">
        <v>2</v>
      </c>
      <c r="N75" s="153">
        <v>3</v>
      </c>
      <c r="O75" s="153">
        <v>4</v>
      </c>
      <c r="P75" s="153">
        <v>3</v>
      </c>
      <c r="Q75" s="154">
        <v>3</v>
      </c>
      <c r="R75" s="23">
        <v>8.335648148148149E-2</v>
      </c>
      <c r="S75" s="43">
        <f>(SUM($R$9:R75)/$R$4)*100</f>
        <v>72.519637479866475</v>
      </c>
      <c r="T75" s="28" t="s">
        <v>6</v>
      </c>
      <c r="U75" s="28" t="s">
        <v>6</v>
      </c>
      <c r="V75" s="28" t="s">
        <v>6</v>
      </c>
      <c r="W75" s="28" t="s">
        <v>6</v>
      </c>
      <c r="X75" s="28" t="s">
        <v>6</v>
      </c>
      <c r="Y75" s="158">
        <v>2</v>
      </c>
      <c r="Z75" s="17"/>
      <c r="AA75" s="173">
        <f>P75/SUM($P$9:$P$111)</f>
        <v>8.4269662921348312E-3</v>
      </c>
      <c r="AB75" s="174">
        <f>Master_Data[[#This Row],[Imp. Level]]/SUMIF(Master_Data[Subject],Master_Data[[#This Row],[Subject]],Master_Data[Imp. Level])</f>
        <v>4.4776119402985072E-2</v>
      </c>
      <c r="AC75" s="157">
        <f>Master_Data[[#This Row],[Subjectwise weights]]*Master_Data[[#This Row],[Confidence Level]]</f>
        <v>8.9552238805970144E-2</v>
      </c>
      <c r="AD75" s="273" t="str">
        <f>Master_Data[[#This Row],[Prac. Book]]</f>
        <v>U</v>
      </c>
      <c r="AE75" s="273" t="str">
        <f>Master_Data[[#This Row],[GARP EOC Ques.]]</f>
        <v>U</v>
      </c>
    </row>
    <row r="76" spans="2:31" ht="27" customHeight="1">
      <c r="B76" s="3">
        <v>68</v>
      </c>
      <c r="C76" s="182" t="str">
        <f ca="1">IF(Master_Data[[#This Row],[Column1]]=0,"",IF(Master_Data[[#This Row],[Column1]]=1,"Current Week",CONCATENATE("Week ",Master_Data[[#This Row],[Column1]])))</f>
        <v>Week 35</v>
      </c>
      <c r="D76" s="3">
        <f ca="1">ROUNDUP(Master_Data[[#This Row],[Column2]]/Working!$C$8,0)</f>
        <v>35</v>
      </c>
      <c r="E76" s="15">
        <f>SUM($F$9:F76)</f>
        <v>5.7890162037037056</v>
      </c>
      <c r="F76" s="27">
        <f>IF(Master_Data[[#This Row],[Lectures]]="D","",Master_Data[[#This Row],[Duration (hh:mm)]])</f>
        <v>3.5925925925925924E-2</v>
      </c>
      <c r="G76" s="2" t="s">
        <v>185</v>
      </c>
      <c r="H76" s="2">
        <v>58</v>
      </c>
      <c r="I76" s="2" t="s">
        <v>96</v>
      </c>
      <c r="J76" s="45" t="s">
        <v>253</v>
      </c>
      <c r="K76" s="177">
        <v>4</v>
      </c>
      <c r="L76" s="152">
        <v>3</v>
      </c>
      <c r="M76" s="153">
        <v>1</v>
      </c>
      <c r="N76" s="153">
        <v>2</v>
      </c>
      <c r="O76" s="153">
        <v>2</v>
      </c>
      <c r="P76" s="153">
        <v>3</v>
      </c>
      <c r="Q76" s="154">
        <v>3</v>
      </c>
      <c r="R76" s="178">
        <v>3.5925925925925924E-2</v>
      </c>
      <c r="S76" s="43">
        <f>(SUM($R$9:R76)/$R$4)*100</f>
        <v>72.972495856579286</v>
      </c>
      <c r="T76" s="28" t="s">
        <v>6</v>
      </c>
      <c r="U76" s="28" t="s">
        <v>6</v>
      </c>
      <c r="V76" s="28" t="s">
        <v>6</v>
      </c>
      <c r="W76" s="28" t="s">
        <v>6</v>
      </c>
      <c r="X76" s="28" t="s">
        <v>6</v>
      </c>
      <c r="Y76" s="158">
        <v>2</v>
      </c>
      <c r="Z76" s="17"/>
      <c r="AA76" s="173">
        <f>P76/SUM($P$9:$P$70)</f>
        <v>1.3100436681222707E-2</v>
      </c>
      <c r="AB76" s="174">
        <f>Master_Data[[#This Row],[Imp. Level]]/SUMIF(Master_Data[Subject],Master_Data[[#This Row],[Subject]],Master_Data[Imp. Level])</f>
        <v>4.1666666666666664E-2</v>
      </c>
      <c r="AC76" s="157">
        <f>Master_Data[[#This Row],[Subjectwise weights]]*Master_Data[[#This Row],[Confidence Level]]</f>
        <v>8.3333333333333329E-2</v>
      </c>
      <c r="AD76" s="273" t="str">
        <f>Master_Data[[#This Row],[Prac. Book]]</f>
        <v>U</v>
      </c>
      <c r="AE76" s="273" t="str">
        <f>Master_Data[[#This Row],[GARP EOC Ques.]]</f>
        <v>U</v>
      </c>
    </row>
    <row r="77" spans="2:31" ht="27" customHeight="1">
      <c r="B77" s="3">
        <v>69</v>
      </c>
      <c r="C77" s="182" t="str">
        <f ca="1">IF(Master_Data[[#This Row],[Column1]]=0,"",IF(Master_Data[[#This Row],[Column1]]=1,"Current Week",CONCATENATE("Week ",Master_Data[[#This Row],[Column1]])))</f>
        <v>Week 36</v>
      </c>
      <c r="D77" s="3">
        <f ca="1">ROUNDUP(Master_Data[[#This Row],[Column2]]/Working!$C$8,0)</f>
        <v>36</v>
      </c>
      <c r="E77" s="15">
        <f>SUM($F$9:F77)</f>
        <v>5.8464583333333353</v>
      </c>
      <c r="F77" s="27">
        <f>IF(Master_Data[[#This Row],[Lectures]]="D","",Master_Data[[#This Row],[Duration (hh:mm)]])</f>
        <v>5.7442129629629628E-2</v>
      </c>
      <c r="G77" s="2" t="s">
        <v>185</v>
      </c>
      <c r="H77" s="2">
        <v>59</v>
      </c>
      <c r="I77" s="2" t="s">
        <v>96</v>
      </c>
      <c r="J77" s="45" t="s">
        <v>254</v>
      </c>
      <c r="K77" s="177">
        <v>2</v>
      </c>
      <c r="L77" s="152">
        <v>3</v>
      </c>
      <c r="M77" s="153">
        <v>1</v>
      </c>
      <c r="N77" s="153">
        <v>3</v>
      </c>
      <c r="O77" s="153">
        <v>3</v>
      </c>
      <c r="P77" s="153">
        <v>3</v>
      </c>
      <c r="Q77" s="154">
        <v>3</v>
      </c>
      <c r="R77" s="27">
        <v>5.7442129629629628E-2</v>
      </c>
      <c r="S77" s="43">
        <f>(SUM($R$9:R77)/$R$4)*100</f>
        <v>73.696573215994775</v>
      </c>
      <c r="T77" s="28" t="s">
        <v>6</v>
      </c>
      <c r="U77" s="28" t="s">
        <v>6</v>
      </c>
      <c r="V77" s="28" t="s">
        <v>6</v>
      </c>
      <c r="W77" s="28" t="s">
        <v>6</v>
      </c>
      <c r="X77" s="28" t="s">
        <v>6</v>
      </c>
      <c r="Y77" s="158">
        <v>2</v>
      </c>
      <c r="Z77" s="17"/>
      <c r="AA77" s="173">
        <f>P77/SUM($P$9:$P$70)</f>
        <v>1.3100436681222707E-2</v>
      </c>
      <c r="AB77" s="174">
        <f>Master_Data[[#This Row],[Imp. Level]]/SUMIF(Master_Data[Subject],Master_Data[[#This Row],[Subject]],Master_Data[Imp. Level])</f>
        <v>4.1666666666666664E-2</v>
      </c>
      <c r="AC77" s="157">
        <f>Master_Data[[#This Row],[Subjectwise weights]]*Master_Data[[#This Row],[Confidence Level]]</f>
        <v>8.3333333333333329E-2</v>
      </c>
      <c r="AD77" s="273" t="str">
        <f>Master_Data[[#This Row],[Prac. Book]]</f>
        <v>U</v>
      </c>
      <c r="AE77" s="273" t="str">
        <f>Master_Data[[#This Row],[GARP EOC Ques.]]</f>
        <v>U</v>
      </c>
    </row>
    <row r="78" spans="2:31" ht="27" customHeight="1">
      <c r="B78" s="3">
        <v>70</v>
      </c>
      <c r="C78" s="182" t="str">
        <f ca="1">IF(Master_Data[[#This Row],[Column1]]=0,"",IF(Master_Data[[#This Row],[Column1]]=1,"Current Week",CONCATENATE("Week ",Master_Data[[#This Row],[Column1]])))</f>
        <v>Week 36</v>
      </c>
      <c r="D78" s="3">
        <f ca="1">ROUNDUP(Master_Data[[#This Row],[Column2]]/Working!$C$8,0)</f>
        <v>36</v>
      </c>
      <c r="E78" s="15">
        <f>SUM($F$9:F78)</f>
        <v>5.895601851851854</v>
      </c>
      <c r="F78" s="27">
        <f>IF(Master_Data[[#This Row],[Lectures]]="D","",Master_Data[[#This Row],[Duration (hh:mm)]])</f>
        <v>4.9143518518518524E-2</v>
      </c>
      <c r="G78" s="2" t="s">
        <v>185</v>
      </c>
      <c r="H78" s="2">
        <v>56</v>
      </c>
      <c r="I78" s="2" t="s">
        <v>96</v>
      </c>
      <c r="J78" s="45" t="s">
        <v>195</v>
      </c>
      <c r="K78" s="177">
        <v>3</v>
      </c>
      <c r="L78" s="152">
        <v>2</v>
      </c>
      <c r="M78" s="153">
        <v>1</v>
      </c>
      <c r="N78" s="153">
        <v>3</v>
      </c>
      <c r="O78" s="153">
        <v>3</v>
      </c>
      <c r="P78" s="153">
        <v>3</v>
      </c>
      <c r="Q78" s="154">
        <v>3</v>
      </c>
      <c r="R78" s="23">
        <v>4.9143518518518524E-2</v>
      </c>
      <c r="S78" s="43">
        <f>(SUM($R$9:R78)/$R$4)*100</f>
        <v>74.316043791871905</v>
      </c>
      <c r="T78" s="28" t="s">
        <v>6</v>
      </c>
      <c r="U78" s="28" t="s">
        <v>6</v>
      </c>
      <c r="V78" s="28" t="s">
        <v>6</v>
      </c>
      <c r="W78" s="28" t="s">
        <v>6</v>
      </c>
      <c r="X78" s="28" t="s">
        <v>6</v>
      </c>
      <c r="Y78" s="158">
        <v>3</v>
      </c>
      <c r="Z78" s="17"/>
      <c r="AA78" s="173">
        <f>P78/SUM($P$9:$P$70)</f>
        <v>1.3100436681222707E-2</v>
      </c>
      <c r="AB78" s="174">
        <f>Master_Data[[#This Row],[Imp. Level]]/SUMIF(Master_Data[Subject],Master_Data[[#This Row],[Subject]],Master_Data[Imp. Level])</f>
        <v>4.1666666666666664E-2</v>
      </c>
      <c r="AC78" s="157">
        <f>Master_Data[[#This Row],[Subjectwise weights]]*Master_Data[[#This Row],[Confidence Level]]</f>
        <v>0.125</v>
      </c>
      <c r="AD78" s="273" t="str">
        <f>Master_Data[[#This Row],[Prac. Book]]</f>
        <v>U</v>
      </c>
      <c r="AE78" s="273" t="str">
        <f>Master_Data[[#This Row],[GARP EOC Ques.]]</f>
        <v>U</v>
      </c>
    </row>
    <row r="79" spans="2:31" ht="27" customHeight="1">
      <c r="B79" s="3">
        <v>71</v>
      </c>
      <c r="C79" s="182" t="str">
        <f ca="1">IF(Master_Data[[#This Row],[Column1]]=0,"",IF(Master_Data[[#This Row],[Column1]]=1,"Current Week",CONCATENATE("Week ",Master_Data[[#This Row],[Column1]])))</f>
        <v>Week 36</v>
      </c>
      <c r="D79" s="3">
        <f ca="1">ROUNDUP(Master_Data[[#This Row],[Column2]]/Working!$C$8,0)</f>
        <v>36</v>
      </c>
      <c r="E79" s="15">
        <f>SUM($F$9:F79)</f>
        <v>5.9356712962962987</v>
      </c>
      <c r="F79" s="27">
        <f>IF(Master_Data[[#This Row],[Lectures]]="D","",Master_Data[[#This Row],[Duration (hh:mm)]])</f>
        <v>4.0069444444444442E-2</v>
      </c>
      <c r="G79" s="2" t="s">
        <v>185</v>
      </c>
      <c r="H79" s="2">
        <v>54</v>
      </c>
      <c r="I79" s="2" t="s">
        <v>96</v>
      </c>
      <c r="J79" s="45" t="s">
        <v>196</v>
      </c>
      <c r="K79" s="177">
        <v>4</v>
      </c>
      <c r="L79" s="44">
        <v>2</v>
      </c>
      <c r="M79" s="44">
        <v>1</v>
      </c>
      <c r="N79" s="44">
        <v>2</v>
      </c>
      <c r="O79" s="44">
        <v>2</v>
      </c>
      <c r="P79" s="44">
        <v>1</v>
      </c>
      <c r="Q79" s="44">
        <v>2</v>
      </c>
      <c r="R79" s="23">
        <v>4.0069444444444442E-2</v>
      </c>
      <c r="S79" s="43">
        <f>(SUM($R$9:R79)/$R$4)*100</f>
        <v>74.821132612806096</v>
      </c>
      <c r="T79" s="28" t="s">
        <v>6</v>
      </c>
      <c r="U79" s="28" t="s">
        <v>6</v>
      </c>
      <c r="V79" s="28" t="s">
        <v>6</v>
      </c>
      <c r="W79" s="28" t="s">
        <v>6</v>
      </c>
      <c r="X79" s="28" t="s">
        <v>6</v>
      </c>
      <c r="Y79" s="158">
        <v>3</v>
      </c>
      <c r="Z79" s="17"/>
      <c r="AA79" s="173">
        <f t="shared" ref="AA79:AA111" si="6">P79/SUM($P$9:$P$111)</f>
        <v>2.8089887640449437E-3</v>
      </c>
      <c r="AB79" s="174">
        <f>Master_Data[[#This Row],[Imp. Level]]/SUMIF(Master_Data[Subject],Master_Data[[#This Row],[Subject]],Master_Data[Imp. Level])</f>
        <v>1.3888888888888888E-2</v>
      </c>
      <c r="AC79" s="157">
        <f>Master_Data[[#This Row],[Subjectwise weights]]*Master_Data[[#This Row],[Confidence Level]]</f>
        <v>4.1666666666666664E-2</v>
      </c>
      <c r="AD79" s="273" t="str">
        <f>Master_Data[[#This Row],[Prac. Book]]</f>
        <v>U</v>
      </c>
      <c r="AE79" s="273" t="str">
        <f>Master_Data[[#This Row],[GARP EOC Ques.]]</f>
        <v>U</v>
      </c>
    </row>
    <row r="80" spans="2:31" ht="27" customHeight="1">
      <c r="B80" s="3">
        <v>72</v>
      </c>
      <c r="C80" s="182" t="str">
        <f ca="1">IF(Master_Data[[#This Row],[Column1]]=0,"",IF(Master_Data[[#This Row],[Column1]]=1,"Current Week",CONCATENATE("Week ",Master_Data[[#This Row],[Column1]])))</f>
        <v>Week 36</v>
      </c>
      <c r="D80" s="3">
        <f ca="1">ROUNDUP(Master_Data[[#This Row],[Column2]]/Working!$C$8,0)</f>
        <v>36</v>
      </c>
      <c r="E80" s="15">
        <f>SUM($F$9:F80)</f>
        <v>5.956516203703706</v>
      </c>
      <c r="F80" s="27">
        <f>IF(Master_Data[[#This Row],[Lectures]]="D","",Master_Data[[#This Row],[Duration (hh:mm)]])</f>
        <v>2.0844907407407406E-2</v>
      </c>
      <c r="G80" s="2" t="s">
        <v>185</v>
      </c>
      <c r="H80" s="2">
        <v>55</v>
      </c>
      <c r="I80" s="2" t="s">
        <v>96</v>
      </c>
      <c r="J80" s="45" t="s">
        <v>255</v>
      </c>
      <c r="K80" s="177">
        <v>3</v>
      </c>
      <c r="L80" s="44">
        <v>2</v>
      </c>
      <c r="M80" s="44">
        <v>1</v>
      </c>
      <c r="N80" s="44">
        <v>3</v>
      </c>
      <c r="O80" s="44">
        <v>3</v>
      </c>
      <c r="P80" s="44">
        <v>4</v>
      </c>
      <c r="Q80" s="44">
        <v>3</v>
      </c>
      <c r="R80" s="23">
        <v>2.0844907407407406E-2</v>
      </c>
      <c r="S80" s="43">
        <f>(SUM($R$9:R80)/$R$4)*100</f>
        <v>75.083889679964528</v>
      </c>
      <c r="T80" s="28" t="s">
        <v>6</v>
      </c>
      <c r="U80" s="28" t="s">
        <v>6</v>
      </c>
      <c r="V80" s="28" t="s">
        <v>6</v>
      </c>
      <c r="W80" s="28" t="s">
        <v>6</v>
      </c>
      <c r="X80" s="28" t="s">
        <v>6</v>
      </c>
      <c r="Y80" s="158">
        <v>2</v>
      </c>
      <c r="Z80" s="17"/>
      <c r="AA80" s="173">
        <f t="shared" si="6"/>
        <v>1.1235955056179775E-2</v>
      </c>
      <c r="AB80" s="174">
        <f>Master_Data[[#This Row],[Imp. Level]]/SUMIF(Master_Data[Subject],Master_Data[[#This Row],[Subject]],Master_Data[Imp. Level])</f>
        <v>5.5555555555555552E-2</v>
      </c>
      <c r="AC80" s="157">
        <f>Master_Data[[#This Row],[Subjectwise weights]]*Master_Data[[#This Row],[Confidence Level]]</f>
        <v>0.1111111111111111</v>
      </c>
      <c r="AD80" s="273" t="str">
        <f>Master_Data[[#This Row],[Prac. Book]]</f>
        <v>U</v>
      </c>
      <c r="AE80" s="273" t="str">
        <f>Master_Data[[#This Row],[GARP EOC Ques.]]</f>
        <v>U</v>
      </c>
    </row>
    <row r="81" spans="2:31" ht="27" customHeight="1">
      <c r="B81" s="3">
        <v>73</v>
      </c>
      <c r="C81" s="182" t="str">
        <f ca="1">IF(Master_Data[[#This Row],[Column1]]=0,"",IF(Master_Data[[#This Row],[Column1]]=1,"Current Week",CONCATENATE("Week ",Master_Data[[#This Row],[Column1]])))</f>
        <v>Week 37</v>
      </c>
      <c r="D81" s="3">
        <f ca="1">ROUNDUP(Master_Data[[#This Row],[Column2]]/Working!$C$8,0)</f>
        <v>37</v>
      </c>
      <c r="E81" s="15">
        <f>SUM($F$9:F81)</f>
        <v>6.0048379629629656</v>
      </c>
      <c r="F81" s="27">
        <f>IF(Master_Data[[#This Row],[Lectures]]="D","",Master_Data[[#This Row],[Duration (hh:mm)]])</f>
        <v>4.8321759259259266E-2</v>
      </c>
      <c r="G81" s="2" t="s">
        <v>186</v>
      </c>
      <c r="H81" s="2">
        <v>71</v>
      </c>
      <c r="I81" s="2" t="s">
        <v>96</v>
      </c>
      <c r="J81" s="45" t="s">
        <v>197</v>
      </c>
      <c r="K81" s="177">
        <v>3</v>
      </c>
      <c r="L81" s="152">
        <v>3</v>
      </c>
      <c r="M81" s="153">
        <v>1</v>
      </c>
      <c r="N81" s="153">
        <v>3</v>
      </c>
      <c r="O81" s="153">
        <v>3</v>
      </c>
      <c r="P81" s="153">
        <v>3</v>
      </c>
      <c r="Q81" s="154">
        <v>3</v>
      </c>
      <c r="R81" s="23">
        <v>4.8321759259259266E-2</v>
      </c>
      <c r="S81" s="43">
        <f>(SUM($R$9:R81)/$R$4)*100</f>
        <v>75.693001704054723</v>
      </c>
      <c r="T81" s="28" t="s">
        <v>6</v>
      </c>
      <c r="U81" s="28" t="s">
        <v>6</v>
      </c>
      <c r="V81" s="28" t="s">
        <v>6</v>
      </c>
      <c r="W81" s="28" t="s">
        <v>6</v>
      </c>
      <c r="X81" s="28" t="s">
        <v>6</v>
      </c>
      <c r="Y81" s="158">
        <v>3</v>
      </c>
      <c r="Z81" s="17"/>
      <c r="AA81" s="173">
        <f t="shared" si="6"/>
        <v>8.4269662921348312E-3</v>
      </c>
      <c r="AB81" s="174">
        <f>Master_Data[[#This Row],[Imp. Level]]/SUMIF(Master_Data[Subject],Master_Data[[#This Row],[Subject]],Master_Data[Imp. Level])</f>
        <v>4.4776119402985072E-2</v>
      </c>
      <c r="AC81" s="157">
        <f>Master_Data[[#This Row],[Subjectwise weights]]*Master_Data[[#This Row],[Confidence Level]]</f>
        <v>0.13432835820895522</v>
      </c>
      <c r="AD81" s="273" t="str">
        <f>Master_Data[[#This Row],[Prac. Book]]</f>
        <v>U</v>
      </c>
      <c r="AE81" s="273" t="str">
        <f>Master_Data[[#This Row],[GARP EOC Ques.]]</f>
        <v>U</v>
      </c>
    </row>
    <row r="82" spans="2:31" ht="27" customHeight="1">
      <c r="B82" s="3">
        <v>74</v>
      </c>
      <c r="C82" s="182" t="str">
        <f ca="1">IF(Master_Data[[#This Row],[Column1]]=0,"",IF(Master_Data[[#This Row],[Column1]]=1,"Current Week",CONCATENATE("Week ",Master_Data[[#This Row],[Column1]])))</f>
        <v>Week 37</v>
      </c>
      <c r="D82" s="3">
        <f ca="1">ROUNDUP(Master_Data[[#This Row],[Column2]]/Working!$C$8,0)</f>
        <v>37</v>
      </c>
      <c r="E82" s="15">
        <f>SUM($F$9:F82)</f>
        <v>6.0636226851851882</v>
      </c>
      <c r="F82" s="27">
        <f>IF(Master_Data[[#This Row],[Lectures]]="D","",Master_Data[[#This Row],[Duration (hh:mm)]])</f>
        <v>5.8784722222222224E-2</v>
      </c>
      <c r="G82" s="2" t="s">
        <v>186</v>
      </c>
      <c r="H82" s="2">
        <v>72</v>
      </c>
      <c r="I82" s="2" t="s">
        <v>96</v>
      </c>
      <c r="J82" s="271" t="s">
        <v>198</v>
      </c>
      <c r="K82" s="177">
        <v>3</v>
      </c>
      <c r="L82" s="152">
        <v>2</v>
      </c>
      <c r="M82" s="153">
        <v>1</v>
      </c>
      <c r="N82" s="153">
        <v>2</v>
      </c>
      <c r="O82" s="153">
        <v>2</v>
      </c>
      <c r="P82" s="153">
        <v>3</v>
      </c>
      <c r="Q82" s="154">
        <v>3</v>
      </c>
      <c r="R82" s="23">
        <v>5.8784722222222224E-2</v>
      </c>
      <c r="S82" s="43">
        <f>(SUM($R$9:R82)/$R$4)*100</f>
        <v>76.434002894558702</v>
      </c>
      <c r="T82" s="28" t="s">
        <v>6</v>
      </c>
      <c r="U82" s="28" t="s">
        <v>6</v>
      </c>
      <c r="V82" s="28" t="s">
        <v>6</v>
      </c>
      <c r="W82" s="28" t="s">
        <v>6</v>
      </c>
      <c r="X82" s="28" t="s">
        <v>6</v>
      </c>
      <c r="Y82" s="158">
        <v>2</v>
      </c>
      <c r="Z82" s="17"/>
      <c r="AA82" s="173">
        <f t="shared" si="6"/>
        <v>8.4269662921348312E-3</v>
      </c>
      <c r="AB82" s="174">
        <f>Master_Data[[#This Row],[Imp. Level]]/SUMIF(Master_Data[Subject],Master_Data[[#This Row],[Subject]],Master_Data[Imp. Level])</f>
        <v>4.4776119402985072E-2</v>
      </c>
      <c r="AC82" s="157">
        <f>Master_Data[[#This Row],[Subjectwise weights]]*Master_Data[[#This Row],[Confidence Level]]</f>
        <v>8.9552238805970144E-2</v>
      </c>
      <c r="AD82" s="273" t="str">
        <f>Master_Data[[#This Row],[Prac. Book]]</f>
        <v>U</v>
      </c>
      <c r="AE82" s="273" t="str">
        <f>Master_Data[[#This Row],[GARP EOC Ques.]]</f>
        <v>U</v>
      </c>
    </row>
    <row r="83" spans="2:31" ht="27" customHeight="1">
      <c r="B83" s="3">
        <v>75</v>
      </c>
      <c r="C83" s="182" t="str">
        <f ca="1">IF(Master_Data[[#This Row],[Column1]]=0,"",IF(Master_Data[[#This Row],[Column1]]=1,"Current Week",CONCATENATE("Week ",Master_Data[[#This Row],[Column1]])))</f>
        <v>Week 37</v>
      </c>
      <c r="D83" s="3">
        <f ca="1">ROUNDUP(Master_Data[[#This Row],[Column2]]/Working!$C$8,0)</f>
        <v>37</v>
      </c>
      <c r="E83" s="15">
        <f>SUM($F$9:F83)</f>
        <v>6.1170486111111142</v>
      </c>
      <c r="F83" s="27">
        <f>IF(Master_Data[[#This Row],[Lectures]]="D","",Master_Data[[#This Row],[Duration (hh:mm)]])</f>
        <v>5.3425925925925925E-2</v>
      </c>
      <c r="G83" s="2" t="s">
        <v>186</v>
      </c>
      <c r="H83" s="2">
        <v>73</v>
      </c>
      <c r="I83" s="2" t="s">
        <v>96</v>
      </c>
      <c r="J83" s="45" t="s">
        <v>199</v>
      </c>
      <c r="K83" s="177">
        <v>3</v>
      </c>
      <c r="L83" s="152">
        <v>3</v>
      </c>
      <c r="M83" s="153">
        <v>2</v>
      </c>
      <c r="N83" s="153">
        <v>3</v>
      </c>
      <c r="O83" s="153">
        <v>4</v>
      </c>
      <c r="P83" s="153">
        <v>3</v>
      </c>
      <c r="Q83" s="154">
        <v>3</v>
      </c>
      <c r="R83" s="23">
        <v>5.3425925925925925E-2</v>
      </c>
      <c r="S83" s="43">
        <f>(SUM($R$9:R83)/$R$4)*100</f>
        <v>77.107454655804304</v>
      </c>
      <c r="T83" s="28" t="s">
        <v>6</v>
      </c>
      <c r="U83" s="28" t="s">
        <v>6</v>
      </c>
      <c r="V83" s="28" t="s">
        <v>6</v>
      </c>
      <c r="W83" s="28" t="s">
        <v>6</v>
      </c>
      <c r="X83" s="28" t="s">
        <v>6</v>
      </c>
      <c r="Y83" s="158">
        <v>3</v>
      </c>
      <c r="Z83" s="17"/>
      <c r="AA83" s="173">
        <f t="shared" si="6"/>
        <v>8.4269662921348312E-3</v>
      </c>
      <c r="AB83" s="174">
        <f>Master_Data[[#This Row],[Imp. Level]]/SUMIF(Master_Data[Subject],Master_Data[[#This Row],[Subject]],Master_Data[Imp. Level])</f>
        <v>4.4776119402985072E-2</v>
      </c>
      <c r="AC83" s="157">
        <f>Master_Data[[#This Row],[Subjectwise weights]]*Master_Data[[#This Row],[Confidence Level]]</f>
        <v>0.13432835820895522</v>
      </c>
      <c r="AD83" s="273" t="str">
        <f>Master_Data[[#This Row],[Prac. Book]]</f>
        <v>U</v>
      </c>
      <c r="AE83" s="273" t="str">
        <f>Master_Data[[#This Row],[GARP EOC Ques.]]</f>
        <v>U</v>
      </c>
    </row>
    <row r="84" spans="2:31" ht="27" customHeight="1">
      <c r="B84" s="3">
        <v>76</v>
      </c>
      <c r="C84" s="182" t="str">
        <f ca="1">IF(Master_Data[[#This Row],[Column1]]=0,"",IF(Master_Data[[#This Row],[Column1]]=1,"Current Week",CONCATENATE("Week ",Master_Data[[#This Row],[Column1]])))</f>
        <v>Week 38</v>
      </c>
      <c r="D84" s="3">
        <f ca="1">ROUNDUP(Master_Data[[#This Row],[Column2]]/Working!$C$8,0)</f>
        <v>38</v>
      </c>
      <c r="E84" s="15">
        <f>SUM($F$9:F84)</f>
        <v>6.1835995370370398</v>
      </c>
      <c r="F84" s="27">
        <f>IF(Master_Data[[#This Row],[Lectures]]="D","",Master_Data[[#This Row],[Duration (hh:mm)]])</f>
        <v>6.655092592592593E-2</v>
      </c>
      <c r="G84" s="2" t="s">
        <v>186</v>
      </c>
      <c r="H84" s="2">
        <v>74</v>
      </c>
      <c r="I84" s="2" t="s">
        <v>96</v>
      </c>
      <c r="J84" s="45" t="s">
        <v>200</v>
      </c>
      <c r="K84" s="177">
        <v>3</v>
      </c>
      <c r="L84" s="152">
        <v>3</v>
      </c>
      <c r="M84" s="153">
        <v>1</v>
      </c>
      <c r="N84" s="153">
        <v>3</v>
      </c>
      <c r="O84" s="153">
        <v>3</v>
      </c>
      <c r="P84" s="153">
        <v>3</v>
      </c>
      <c r="Q84" s="154">
        <v>3</v>
      </c>
      <c r="R84" s="23">
        <v>6.655092592592593E-2</v>
      </c>
      <c r="S84" s="43">
        <f>(SUM($R$9:R84)/$R$4)*100</f>
        <v>77.946351455449474</v>
      </c>
      <c r="T84" s="28" t="s">
        <v>6</v>
      </c>
      <c r="U84" s="28" t="s">
        <v>6</v>
      </c>
      <c r="V84" s="28" t="s">
        <v>6</v>
      </c>
      <c r="W84" s="28" t="s">
        <v>6</v>
      </c>
      <c r="X84" s="28" t="s">
        <v>6</v>
      </c>
      <c r="Y84" s="158">
        <v>3</v>
      </c>
      <c r="Z84" s="17"/>
      <c r="AA84" s="173">
        <f t="shared" si="6"/>
        <v>8.4269662921348312E-3</v>
      </c>
      <c r="AB84" s="174">
        <f>Master_Data[[#This Row],[Imp. Level]]/SUMIF(Master_Data[Subject],Master_Data[[#This Row],[Subject]],Master_Data[Imp. Level])</f>
        <v>4.4776119402985072E-2</v>
      </c>
      <c r="AC84" s="157">
        <f>Master_Data[[#This Row],[Subjectwise weights]]*Master_Data[[#This Row],[Confidence Level]]</f>
        <v>0.13432835820895522</v>
      </c>
      <c r="AD84" s="273" t="str">
        <f>Master_Data[[#This Row],[Prac. Book]]</f>
        <v>U</v>
      </c>
      <c r="AE84" s="273" t="str">
        <f>Master_Data[[#This Row],[GARP EOC Ques.]]</f>
        <v>U</v>
      </c>
    </row>
    <row r="85" spans="2:31" ht="27" customHeight="1">
      <c r="B85" s="3">
        <v>77</v>
      </c>
      <c r="C85" s="182" t="str">
        <f ca="1">IF(Master_Data[[#This Row],[Column1]]=0,"",IF(Master_Data[[#This Row],[Column1]]=1,"Current Week",CONCATENATE("Week ",Master_Data[[#This Row],[Column1]])))</f>
        <v>Week 38</v>
      </c>
      <c r="D85" s="3">
        <f ca="1">ROUNDUP(Master_Data[[#This Row],[Column2]]/Working!$C$8,0)</f>
        <v>38</v>
      </c>
      <c r="E85" s="15">
        <f>SUM($F$9:F85)</f>
        <v>6.2798148148148174</v>
      </c>
      <c r="F85" s="27">
        <f>IF(Master_Data[[#This Row],[Lectures]]="D","",Master_Data[[#This Row],[Duration (hh:mm)]])</f>
        <v>9.6215277777777775E-2</v>
      </c>
      <c r="G85" s="2" t="s">
        <v>186</v>
      </c>
      <c r="H85" s="2">
        <v>75</v>
      </c>
      <c r="I85" s="2" t="s">
        <v>96</v>
      </c>
      <c r="J85" s="45" t="s">
        <v>201</v>
      </c>
      <c r="K85" s="177">
        <v>3</v>
      </c>
      <c r="L85" s="152">
        <v>3</v>
      </c>
      <c r="M85" s="153">
        <v>2</v>
      </c>
      <c r="N85" s="153">
        <v>3</v>
      </c>
      <c r="O85" s="153">
        <v>4</v>
      </c>
      <c r="P85" s="153">
        <v>3</v>
      </c>
      <c r="Q85" s="154">
        <v>3</v>
      </c>
      <c r="R85" s="23">
        <v>9.6215277777777775E-2</v>
      </c>
      <c r="S85" s="43">
        <f>(SUM($R$9:R85)/$R$4)*100</f>
        <v>79.159177385093031</v>
      </c>
      <c r="T85" s="28" t="s">
        <v>6</v>
      </c>
      <c r="U85" s="28" t="s">
        <v>6</v>
      </c>
      <c r="V85" s="28" t="s">
        <v>6</v>
      </c>
      <c r="W85" s="28" t="s">
        <v>6</v>
      </c>
      <c r="X85" s="28" t="s">
        <v>6</v>
      </c>
      <c r="Y85" s="158">
        <v>2</v>
      </c>
      <c r="Z85" s="17"/>
      <c r="AA85" s="173">
        <f t="shared" si="6"/>
        <v>8.4269662921348312E-3</v>
      </c>
      <c r="AB85" s="174">
        <f>Master_Data[[#This Row],[Imp. Level]]/SUMIF(Master_Data[Subject],Master_Data[[#This Row],[Subject]],Master_Data[Imp. Level])</f>
        <v>4.4776119402985072E-2</v>
      </c>
      <c r="AC85" s="157">
        <f>Master_Data[[#This Row],[Subjectwise weights]]*Master_Data[[#This Row],[Confidence Level]]</f>
        <v>8.9552238805970144E-2</v>
      </c>
      <c r="AD85" s="273" t="str">
        <f>Master_Data[[#This Row],[Prac. Book]]</f>
        <v>U</v>
      </c>
      <c r="AE85" s="273" t="str">
        <f>Master_Data[[#This Row],[GARP EOC Ques.]]</f>
        <v>U</v>
      </c>
    </row>
    <row r="86" spans="2:31" ht="27" customHeight="1">
      <c r="B86" s="3">
        <v>78</v>
      </c>
      <c r="C86" s="182" t="str">
        <f ca="1">IF(Master_Data[[#This Row],[Column1]]=0,"",IF(Master_Data[[#This Row],[Column1]]=1,"Current Week",CONCATENATE("Week ",Master_Data[[#This Row],[Column1]])))</f>
        <v>Week 39</v>
      </c>
      <c r="D86" s="3">
        <f ca="1">ROUNDUP(Master_Data[[#This Row],[Column2]]/Working!$C$8,0)</f>
        <v>39</v>
      </c>
      <c r="E86" s="15">
        <f>SUM($F$9:F86)</f>
        <v>6.3339236111111141</v>
      </c>
      <c r="F86" s="27">
        <f>IF(Master_Data[[#This Row],[Lectures]]="D","",Master_Data[[#This Row],[Duration (hh:mm)]])</f>
        <v>5.4108796296296301E-2</v>
      </c>
      <c r="G86" s="2" t="s">
        <v>186</v>
      </c>
      <c r="H86" s="2">
        <v>76</v>
      </c>
      <c r="I86" s="2" t="s">
        <v>96</v>
      </c>
      <c r="J86" s="45" t="s">
        <v>256</v>
      </c>
      <c r="K86" s="177">
        <v>4</v>
      </c>
      <c r="L86" s="152">
        <v>2</v>
      </c>
      <c r="M86" s="153">
        <v>3</v>
      </c>
      <c r="N86" s="153">
        <v>3</v>
      </c>
      <c r="O86" s="153">
        <v>4</v>
      </c>
      <c r="P86" s="153">
        <v>3</v>
      </c>
      <c r="Q86" s="154">
        <v>3</v>
      </c>
      <c r="R86" s="23">
        <v>5.4108796296296301E-2</v>
      </c>
      <c r="S86" s="43">
        <f>(SUM($R$9:R86)/$R$4)*100</f>
        <v>79.841236956978463</v>
      </c>
      <c r="T86" s="28" t="s">
        <v>6</v>
      </c>
      <c r="U86" s="28" t="s">
        <v>6</v>
      </c>
      <c r="V86" s="28" t="s">
        <v>6</v>
      </c>
      <c r="W86" s="28" t="s">
        <v>6</v>
      </c>
      <c r="X86" s="28" t="s">
        <v>6</v>
      </c>
      <c r="Y86" s="158">
        <v>3</v>
      </c>
      <c r="Z86" s="17"/>
      <c r="AA86" s="173">
        <f t="shared" si="6"/>
        <v>8.4269662921348312E-3</v>
      </c>
      <c r="AB86" s="174">
        <f>Master_Data[[#This Row],[Imp. Level]]/SUMIF(Master_Data[Subject],Master_Data[[#This Row],[Subject]],Master_Data[Imp. Level])</f>
        <v>4.4776119402985072E-2</v>
      </c>
      <c r="AC86" s="157">
        <f>Master_Data[[#This Row],[Subjectwise weights]]*Master_Data[[#This Row],[Confidence Level]]</f>
        <v>0.13432835820895522</v>
      </c>
      <c r="AD86" s="273" t="str">
        <f>Master_Data[[#This Row],[Prac. Book]]</f>
        <v>U</v>
      </c>
      <c r="AE86" s="273" t="str">
        <f>Master_Data[[#This Row],[GARP EOC Ques.]]</f>
        <v>U</v>
      </c>
    </row>
    <row r="87" spans="2:31" ht="27" customHeight="1">
      <c r="B87" s="3">
        <v>79</v>
      </c>
      <c r="C87" s="182" t="str">
        <f ca="1">IF(Master_Data[[#This Row],[Column1]]=0,"",IF(Master_Data[[#This Row],[Column1]]=1,"Current Week",CONCATENATE("Week ",Master_Data[[#This Row],[Column1]])))</f>
        <v>Week 39</v>
      </c>
      <c r="D87" s="3">
        <f ca="1">ROUNDUP(Master_Data[[#This Row],[Column2]]/Working!$C$8,0)</f>
        <v>39</v>
      </c>
      <c r="E87" s="15">
        <f>SUM($F$9:F87)</f>
        <v>6.3514583333333361</v>
      </c>
      <c r="F87" s="27">
        <f>IF(Master_Data[[#This Row],[Lectures]]="D","",Master_Data[[#This Row],[Duration (hh:mm)]])</f>
        <v>1.7534722222222222E-2</v>
      </c>
      <c r="G87" s="2" t="s">
        <v>185</v>
      </c>
      <c r="H87" s="2">
        <v>62</v>
      </c>
      <c r="I87" s="2" t="s">
        <v>96</v>
      </c>
      <c r="J87" s="45" t="s">
        <v>257</v>
      </c>
      <c r="K87" s="177">
        <v>3</v>
      </c>
      <c r="L87" s="152">
        <v>2</v>
      </c>
      <c r="M87" s="153">
        <v>1</v>
      </c>
      <c r="N87" s="153">
        <v>3</v>
      </c>
      <c r="O87" s="153">
        <v>3</v>
      </c>
      <c r="P87" s="153">
        <v>4</v>
      </c>
      <c r="Q87" s="154">
        <v>3</v>
      </c>
      <c r="R87" s="23">
        <v>1.7534722222222222E-2</v>
      </c>
      <c r="S87" s="43">
        <f>(SUM($R$9:R87)/$R$4)*100</f>
        <v>80.062268026798023</v>
      </c>
      <c r="T87" s="28" t="s">
        <v>6</v>
      </c>
      <c r="U87" s="28" t="s">
        <v>6</v>
      </c>
      <c r="V87" s="28" t="s">
        <v>6</v>
      </c>
      <c r="W87" s="28" t="s">
        <v>6</v>
      </c>
      <c r="X87" s="28" t="s">
        <v>6</v>
      </c>
      <c r="Y87" s="158">
        <v>2</v>
      </c>
      <c r="Z87" s="17"/>
      <c r="AA87" s="173">
        <f t="shared" si="6"/>
        <v>1.1235955056179775E-2</v>
      </c>
      <c r="AB87" s="174">
        <f>Master_Data[[#This Row],[Imp. Level]]/SUMIF(Master_Data[Subject],Master_Data[[#This Row],[Subject]],Master_Data[Imp. Level])</f>
        <v>5.5555555555555552E-2</v>
      </c>
      <c r="AC87" s="157">
        <f>Master_Data[[#This Row],[Subjectwise weights]]*Master_Data[[#This Row],[Confidence Level]]</f>
        <v>0.1111111111111111</v>
      </c>
      <c r="AD87" s="273" t="str">
        <f>Master_Data[[#This Row],[Prac. Book]]</f>
        <v>U</v>
      </c>
      <c r="AE87" s="273" t="str">
        <f>Master_Data[[#This Row],[GARP EOC Ques.]]</f>
        <v>U</v>
      </c>
    </row>
    <row r="88" spans="2:31" ht="27" customHeight="1">
      <c r="B88" s="3">
        <v>80</v>
      </c>
      <c r="C88" s="182" t="str">
        <f ca="1">IF(Master_Data[[#This Row],[Column1]]=0,"",IF(Master_Data[[#This Row],[Column1]]=1,"Current Week",CONCATENATE("Week ",Master_Data[[#This Row],[Column1]])))</f>
        <v>Week 39</v>
      </c>
      <c r="D88" s="3">
        <f ca="1">ROUNDUP(Master_Data[[#This Row],[Column2]]/Working!$C$8,0)</f>
        <v>39</v>
      </c>
      <c r="E88" s="15">
        <f>SUM($F$9:F88)</f>
        <v>6.3995023148148178</v>
      </c>
      <c r="F88" s="27">
        <f>IF(Master_Data[[#This Row],[Lectures]]="D","",Master_Data[[#This Row],[Duration (hh:mm)]])</f>
        <v>4.8043981481481479E-2</v>
      </c>
      <c r="G88" s="2" t="s">
        <v>185</v>
      </c>
      <c r="H88" s="2">
        <v>63</v>
      </c>
      <c r="I88" s="2" t="s">
        <v>96</v>
      </c>
      <c r="J88" s="45" t="s">
        <v>258</v>
      </c>
      <c r="K88" s="177">
        <v>3</v>
      </c>
      <c r="L88" s="152">
        <v>2</v>
      </c>
      <c r="M88" s="153">
        <v>2</v>
      </c>
      <c r="N88" s="153">
        <v>4</v>
      </c>
      <c r="O88" s="153">
        <v>4</v>
      </c>
      <c r="P88" s="153">
        <v>4</v>
      </c>
      <c r="Q88" s="154">
        <v>4</v>
      </c>
      <c r="R88" s="23">
        <v>4.8043981481481479E-2</v>
      </c>
      <c r="S88" s="43">
        <f>(SUM($R$9:R88)/$R$4)*100</f>
        <v>80.667878568594048</v>
      </c>
      <c r="T88" s="28" t="s">
        <v>6</v>
      </c>
      <c r="U88" s="28" t="s">
        <v>6</v>
      </c>
      <c r="V88" s="28" t="s">
        <v>6</v>
      </c>
      <c r="W88" s="28" t="s">
        <v>6</v>
      </c>
      <c r="X88" s="28" t="s">
        <v>6</v>
      </c>
      <c r="Y88" s="158">
        <v>2</v>
      </c>
      <c r="Z88" s="17"/>
      <c r="AA88" s="173">
        <f t="shared" si="6"/>
        <v>1.1235955056179775E-2</v>
      </c>
      <c r="AB88" s="174">
        <f>Master_Data[[#This Row],[Imp. Level]]/SUMIF(Master_Data[Subject],Master_Data[[#This Row],[Subject]],Master_Data[Imp. Level])</f>
        <v>5.5555555555555552E-2</v>
      </c>
      <c r="AC88" s="157">
        <f>Master_Data[[#This Row],[Subjectwise weights]]*Master_Data[[#This Row],[Confidence Level]]</f>
        <v>0.1111111111111111</v>
      </c>
      <c r="AD88" s="273" t="str">
        <f>Master_Data[[#This Row],[Prac. Book]]</f>
        <v>U</v>
      </c>
      <c r="AE88" s="273" t="str">
        <f>Master_Data[[#This Row],[GARP EOC Ques.]]</f>
        <v>U</v>
      </c>
    </row>
    <row r="89" spans="2:31" ht="27" customHeight="1">
      <c r="B89" s="3">
        <v>81</v>
      </c>
      <c r="C89" s="182" t="str">
        <f ca="1">IF(Master_Data[[#This Row],[Column1]]=0,"",IF(Master_Data[[#This Row],[Column1]]=1,"Current Week",CONCATENATE("Week ",Master_Data[[#This Row],[Column1]])))</f>
        <v>Week 48</v>
      </c>
      <c r="D89" s="3">
        <f ca="1">ROUNDUP(Master_Data[[#This Row],[Column2]]/Working!$C$8,0)</f>
        <v>48</v>
      </c>
      <c r="E89" s="151">
        <f>SUM($F$9:F119)</f>
        <v>7.9331481481481507</v>
      </c>
      <c r="F89" s="27">
        <f>IF(Master_Data[[#This Row],[Lectures]]="D","",Master_Data[[#This Row],[Duration (hh:mm)]])</f>
        <v>7.1689814814814817E-2</v>
      </c>
      <c r="G89" s="2" t="s">
        <v>185</v>
      </c>
      <c r="H89" s="2">
        <v>61</v>
      </c>
      <c r="I89" s="2" t="s">
        <v>96</v>
      </c>
      <c r="J89" s="45" t="s">
        <v>259</v>
      </c>
      <c r="K89" s="177">
        <v>8</v>
      </c>
      <c r="L89" s="152">
        <v>3</v>
      </c>
      <c r="M89" s="153">
        <v>2</v>
      </c>
      <c r="N89" s="153">
        <v>3</v>
      </c>
      <c r="O89" s="153">
        <v>4</v>
      </c>
      <c r="P89" s="153">
        <v>5</v>
      </c>
      <c r="Q89" s="154">
        <v>4</v>
      </c>
      <c r="R89" s="23">
        <v>7.1689814814814817E-2</v>
      </c>
      <c r="S89" s="43">
        <f>(SUM($R$9:R89)/$R$4)*100</f>
        <v>81.571552790681395</v>
      </c>
      <c r="T89" s="28" t="s">
        <v>6</v>
      </c>
      <c r="U89" s="28" t="s">
        <v>6</v>
      </c>
      <c r="V89" s="28" t="s">
        <v>6</v>
      </c>
      <c r="W89" s="28" t="s">
        <v>6</v>
      </c>
      <c r="X89" s="28" t="s">
        <v>6</v>
      </c>
      <c r="Y89" s="158">
        <v>3</v>
      </c>
      <c r="Z89" s="17"/>
      <c r="AA89" s="173">
        <f t="shared" si="6"/>
        <v>1.4044943820224719E-2</v>
      </c>
      <c r="AB89" s="174">
        <f>Master_Data[[#This Row],[Imp. Level]]/SUMIF(Master_Data[Subject],Master_Data[[#This Row],[Subject]],Master_Data[Imp. Level])</f>
        <v>6.9444444444444448E-2</v>
      </c>
      <c r="AC89" s="157">
        <f>Master_Data[[#This Row],[Subjectwise weights]]*Master_Data[[#This Row],[Confidence Level]]</f>
        <v>0.20833333333333334</v>
      </c>
      <c r="AD89" s="273" t="str">
        <f>Master_Data[[#This Row],[Prac. Book]]</f>
        <v>U</v>
      </c>
      <c r="AE89" s="273" t="str">
        <f>Master_Data[[#This Row],[GARP EOC Ques.]]</f>
        <v>U</v>
      </c>
    </row>
    <row r="90" spans="2:31" ht="27" customHeight="1">
      <c r="B90" s="3">
        <v>82</v>
      </c>
      <c r="C90" s="182" t="str">
        <f ca="1">IF(Master_Data[[#This Row],[Column1]]=0,"",IF(Master_Data[[#This Row],[Column1]]=1,"Current Week",CONCATENATE("Week ",Master_Data[[#This Row],[Column1]])))</f>
        <v>Week 40</v>
      </c>
      <c r="D90" s="3">
        <f ca="1">ROUNDUP(Master_Data[[#This Row],[Column2]]/Working!$C$8,0)</f>
        <v>40</v>
      </c>
      <c r="E90" s="151">
        <f>SUM($F$9:F90)</f>
        <v>6.5316782407407441</v>
      </c>
      <c r="F90" s="27">
        <f>IF(Master_Data[[#This Row],[Lectures]]="D","",Master_Data[[#This Row],[Duration (hh:mm)]])</f>
        <v>6.0486111111111109E-2</v>
      </c>
      <c r="G90" s="2" t="s">
        <v>186</v>
      </c>
      <c r="H90" s="2">
        <v>77</v>
      </c>
      <c r="I90" s="2" t="s">
        <v>96</v>
      </c>
      <c r="J90" s="45" t="s">
        <v>202</v>
      </c>
      <c r="K90" s="177">
        <v>7</v>
      </c>
      <c r="L90" s="152">
        <v>3</v>
      </c>
      <c r="M90" s="153">
        <v>2</v>
      </c>
      <c r="N90" s="153">
        <v>3</v>
      </c>
      <c r="O90" s="153">
        <v>3</v>
      </c>
      <c r="P90" s="153">
        <v>4</v>
      </c>
      <c r="Q90" s="154">
        <v>3</v>
      </c>
      <c r="R90" s="23">
        <v>6.0486111111111109E-2</v>
      </c>
      <c r="S90" s="43">
        <f>(SUM($R$9:R90)/$R$4)*100</f>
        <v>82.334000560237186</v>
      </c>
      <c r="T90" s="28" t="s">
        <v>6</v>
      </c>
      <c r="U90" s="28" t="s">
        <v>6</v>
      </c>
      <c r="V90" s="28" t="s">
        <v>6</v>
      </c>
      <c r="W90" s="28" t="s">
        <v>6</v>
      </c>
      <c r="X90" s="28" t="s">
        <v>6</v>
      </c>
      <c r="Y90" s="158">
        <v>3</v>
      </c>
      <c r="Z90" s="17"/>
      <c r="AA90" s="173">
        <f t="shared" si="6"/>
        <v>1.1235955056179775E-2</v>
      </c>
      <c r="AB90" s="174">
        <f>Master_Data[[#This Row],[Imp. Level]]/SUMIF(Master_Data[Subject],Master_Data[[#This Row],[Subject]],Master_Data[Imp. Level])</f>
        <v>5.9701492537313432E-2</v>
      </c>
      <c r="AC90" s="157">
        <f>Master_Data[[#This Row],[Subjectwise weights]]*Master_Data[[#This Row],[Confidence Level]]</f>
        <v>0.17910447761194029</v>
      </c>
      <c r="AD90" s="273" t="str">
        <f>Master_Data[[#This Row],[Prac. Book]]</f>
        <v>U</v>
      </c>
      <c r="AE90" s="273" t="str">
        <f>Master_Data[[#This Row],[GARP EOC Ques.]]</f>
        <v>U</v>
      </c>
    </row>
    <row r="91" spans="2:31" ht="27" customHeight="1">
      <c r="B91" s="3">
        <v>83</v>
      </c>
      <c r="C91" s="182" t="str">
        <f ca="1">IF(Master_Data[[#This Row],[Column1]]=0,"",IF(Master_Data[[#This Row],[Column1]]=1,"Current Week",CONCATENATE("Week ",Master_Data[[#This Row],[Column1]])))</f>
        <v>Week 40</v>
      </c>
      <c r="D91" s="3">
        <f ca="1">ROUNDUP(Master_Data[[#This Row],[Column2]]/Working!$C$8,0)</f>
        <v>40</v>
      </c>
      <c r="E91" s="151">
        <f>SUM($F$9:F91)</f>
        <v>6.6237500000000029</v>
      </c>
      <c r="F91" s="27">
        <f>IF(Master_Data[[#This Row],[Lectures]]="D","",Master_Data[[#This Row],[Duration (hh:mm)]])</f>
        <v>9.2071759259259256E-2</v>
      </c>
      <c r="G91" s="2" t="s">
        <v>186</v>
      </c>
      <c r="H91" s="2">
        <v>78</v>
      </c>
      <c r="I91" s="2" t="s">
        <v>96</v>
      </c>
      <c r="J91" s="45" t="s">
        <v>260</v>
      </c>
      <c r="K91" s="177">
        <v>4</v>
      </c>
      <c r="L91" s="152">
        <v>4</v>
      </c>
      <c r="M91" s="153">
        <v>2</v>
      </c>
      <c r="N91" s="153">
        <v>3</v>
      </c>
      <c r="O91" s="153">
        <v>4</v>
      </c>
      <c r="P91" s="153">
        <v>4</v>
      </c>
      <c r="Q91" s="154">
        <v>3</v>
      </c>
      <c r="R91" s="23">
        <v>9.2071759259259256E-2</v>
      </c>
      <c r="S91" s="43">
        <f>(SUM($R$9:R91)/$R$4)*100</f>
        <v>83.494596045659335</v>
      </c>
      <c r="T91" s="28" t="s">
        <v>6</v>
      </c>
      <c r="U91" s="28" t="s">
        <v>6</v>
      </c>
      <c r="V91" s="28" t="s">
        <v>6</v>
      </c>
      <c r="W91" s="28" t="s">
        <v>6</v>
      </c>
      <c r="X91" s="28" t="s">
        <v>6</v>
      </c>
      <c r="Y91" s="158">
        <v>2</v>
      </c>
      <c r="Z91" s="17"/>
      <c r="AA91" s="173">
        <f t="shared" si="6"/>
        <v>1.1235955056179775E-2</v>
      </c>
      <c r="AB91" s="174">
        <f>Master_Data[[#This Row],[Imp. Level]]/SUMIF(Master_Data[Subject],Master_Data[[#This Row],[Subject]],Master_Data[Imp. Level])</f>
        <v>5.9701492537313432E-2</v>
      </c>
      <c r="AC91" s="157">
        <f>Master_Data[[#This Row],[Subjectwise weights]]*Master_Data[[#This Row],[Confidence Level]]</f>
        <v>0.11940298507462686</v>
      </c>
      <c r="AD91" s="273" t="str">
        <f>Master_Data[[#This Row],[Prac. Book]]</f>
        <v>U</v>
      </c>
      <c r="AE91" s="273" t="str">
        <f>Master_Data[[#This Row],[GARP EOC Ques.]]</f>
        <v>U</v>
      </c>
    </row>
    <row r="92" spans="2:31" ht="27" customHeight="1">
      <c r="B92" s="3">
        <v>84</v>
      </c>
      <c r="C92" s="182" t="str">
        <f ca="1">IF(Master_Data[[#This Row],[Column1]]=0,"",IF(Master_Data[[#This Row],[Column1]]=1,"Current Week",CONCATENATE("Week ",Master_Data[[#This Row],[Column1]])))</f>
        <v>Week 41</v>
      </c>
      <c r="D92" s="3">
        <f ca="1">ROUNDUP(Master_Data[[#This Row],[Column2]]/Working!$C$8,0)</f>
        <v>41</v>
      </c>
      <c r="E92" s="151">
        <f>SUM($F$9:F92)</f>
        <v>6.6684143518518546</v>
      </c>
      <c r="F92" s="27">
        <f>IF(Master_Data[[#This Row],[Lectures]]="D","",Master_Data[[#This Row],[Duration (hh:mm)]])</f>
        <v>4.4664351851851851E-2</v>
      </c>
      <c r="G92" s="2" t="s">
        <v>186</v>
      </c>
      <c r="H92" s="2">
        <v>79</v>
      </c>
      <c r="I92" s="2" t="s">
        <v>96</v>
      </c>
      <c r="J92" s="45" t="s">
        <v>203</v>
      </c>
      <c r="K92" s="177">
        <v>3</v>
      </c>
      <c r="L92" s="152">
        <v>2</v>
      </c>
      <c r="M92" s="153">
        <v>1</v>
      </c>
      <c r="N92" s="153">
        <v>2</v>
      </c>
      <c r="O92" s="153">
        <v>3</v>
      </c>
      <c r="P92" s="153">
        <v>3</v>
      </c>
      <c r="Q92" s="154">
        <v>3</v>
      </c>
      <c r="R92" s="23">
        <v>4.4664351851851851E-2</v>
      </c>
      <c r="S92" s="43">
        <f>(SUM($R$9:R92)/$R$4)*100</f>
        <v>84.05760521954295</v>
      </c>
      <c r="T92" s="28" t="s">
        <v>6</v>
      </c>
      <c r="U92" s="28" t="s">
        <v>6</v>
      </c>
      <c r="V92" s="28" t="s">
        <v>6</v>
      </c>
      <c r="W92" s="28" t="s">
        <v>6</v>
      </c>
      <c r="X92" s="28" t="s">
        <v>6</v>
      </c>
      <c r="Y92" s="158">
        <v>2</v>
      </c>
      <c r="Z92" s="17"/>
      <c r="AA92" s="173">
        <f t="shared" si="6"/>
        <v>8.4269662921348312E-3</v>
      </c>
      <c r="AB92" s="174">
        <f>Master_Data[[#This Row],[Imp. Level]]/SUMIF(Master_Data[Subject],Master_Data[[#This Row],[Subject]],Master_Data[Imp. Level])</f>
        <v>4.4776119402985072E-2</v>
      </c>
      <c r="AC92" s="157">
        <f>Master_Data[[#This Row],[Subjectwise weights]]*Master_Data[[#This Row],[Confidence Level]]</f>
        <v>8.9552238805970144E-2</v>
      </c>
      <c r="AD92" s="273" t="str">
        <f>Master_Data[[#This Row],[Prac. Book]]</f>
        <v>U</v>
      </c>
      <c r="AE92" s="273" t="str">
        <f>Master_Data[[#This Row],[GARP EOC Ques.]]</f>
        <v>U</v>
      </c>
    </row>
    <row r="93" spans="2:31" ht="27" customHeight="1">
      <c r="B93" s="3">
        <v>85</v>
      </c>
      <c r="C93" s="182" t="str">
        <f ca="1">IF(Master_Data[[#This Row],[Column1]]=0,"",IF(Master_Data[[#This Row],[Column1]]=1,"Current Week",CONCATENATE("Week ",Master_Data[[#This Row],[Column1]])))</f>
        <v>Week 41</v>
      </c>
      <c r="D93" s="3">
        <f ca="1">ROUNDUP(Master_Data[[#This Row],[Column2]]/Working!$C$8,0)</f>
        <v>41</v>
      </c>
      <c r="E93" s="151">
        <f>SUM($F$9:F93)</f>
        <v>6.693252314814818</v>
      </c>
      <c r="F93" s="27">
        <f>IF(Master_Data[[#This Row],[Lectures]]="D","",Master_Data[[#This Row],[Duration (hh:mm)]])</f>
        <v>2.4837962962962964E-2</v>
      </c>
      <c r="G93" s="2" t="s">
        <v>186</v>
      </c>
      <c r="H93" s="2">
        <v>80</v>
      </c>
      <c r="I93" s="2" t="s">
        <v>96</v>
      </c>
      <c r="J93" s="45" t="s">
        <v>261</v>
      </c>
      <c r="K93" s="177">
        <v>3</v>
      </c>
      <c r="L93" s="152">
        <v>1</v>
      </c>
      <c r="M93" s="153">
        <v>2</v>
      </c>
      <c r="N93" s="153">
        <v>2</v>
      </c>
      <c r="O93" s="153">
        <v>4</v>
      </c>
      <c r="P93" s="153">
        <v>4</v>
      </c>
      <c r="Q93" s="154">
        <v>4</v>
      </c>
      <c r="R93" s="23">
        <v>2.4837962962962964E-2</v>
      </c>
      <c r="S93" s="43">
        <f>(SUM($R$9:R93)/$R$4)*100</f>
        <v>84.370696094680099</v>
      </c>
      <c r="T93" s="28" t="s">
        <v>6</v>
      </c>
      <c r="U93" s="28" t="s">
        <v>6</v>
      </c>
      <c r="V93" s="28" t="s">
        <v>6</v>
      </c>
      <c r="W93" s="28" t="s">
        <v>6</v>
      </c>
      <c r="X93" s="28" t="s">
        <v>6</v>
      </c>
      <c r="Y93" s="158">
        <v>3</v>
      </c>
      <c r="Z93" s="17"/>
      <c r="AA93" s="173">
        <f t="shared" si="6"/>
        <v>1.1235955056179775E-2</v>
      </c>
      <c r="AB93" s="174">
        <f>Master_Data[[#This Row],[Imp. Level]]/SUMIF(Master_Data[Subject],Master_Data[[#This Row],[Subject]],Master_Data[Imp. Level])</f>
        <v>5.9701492537313432E-2</v>
      </c>
      <c r="AC93" s="157">
        <f>Master_Data[[#This Row],[Subjectwise weights]]*Master_Data[[#This Row],[Confidence Level]]</f>
        <v>0.17910447761194029</v>
      </c>
      <c r="AD93" s="273" t="str">
        <f>Master_Data[[#This Row],[Prac. Book]]</f>
        <v>U</v>
      </c>
      <c r="AE93" s="273" t="str">
        <f>Master_Data[[#This Row],[GARP EOC Ques.]]</f>
        <v>U</v>
      </c>
    </row>
    <row r="94" spans="2:31" ht="27" customHeight="1">
      <c r="B94" s="3">
        <v>86</v>
      </c>
      <c r="C94" s="182" t="str">
        <f ca="1">IF(Master_Data[[#This Row],[Column1]]=0,"",IF(Master_Data[[#This Row],[Column1]]=1,"Current Week",CONCATENATE("Week ",Master_Data[[#This Row],[Column1]])))</f>
        <v>Week 41</v>
      </c>
      <c r="D94" s="3">
        <f ca="1">ROUNDUP(Master_Data[[#This Row],[Column2]]/Working!$C$8,0)</f>
        <v>41</v>
      </c>
      <c r="E94" s="151">
        <f>SUM($F$9:F94)</f>
        <v>6.7639467592592624</v>
      </c>
      <c r="F94" s="27">
        <f>IF(Master_Data[[#This Row],[Lectures]]="D","",Master_Data[[#This Row],[Duration (hh:mm)]])</f>
        <v>7.0694444444444449E-2</v>
      </c>
      <c r="G94" s="2" t="s">
        <v>186</v>
      </c>
      <c r="H94" s="2">
        <v>81</v>
      </c>
      <c r="I94" s="2" t="s">
        <v>96</v>
      </c>
      <c r="J94" s="45" t="s">
        <v>262</v>
      </c>
      <c r="K94" s="177">
        <v>4</v>
      </c>
      <c r="L94" s="152">
        <v>3</v>
      </c>
      <c r="M94" s="153">
        <v>3</v>
      </c>
      <c r="N94" s="153">
        <v>3</v>
      </c>
      <c r="O94" s="153">
        <v>4</v>
      </c>
      <c r="P94" s="153">
        <v>5</v>
      </c>
      <c r="Q94" s="154">
        <v>4</v>
      </c>
      <c r="R94" s="23">
        <v>7.0694444444444449E-2</v>
      </c>
      <c r="S94" s="43">
        <f>(SUM($R$9:R94)/$R$4)*100</f>
        <v>85.261823338546662</v>
      </c>
      <c r="T94" s="28" t="s">
        <v>6</v>
      </c>
      <c r="U94" s="28" t="s">
        <v>6</v>
      </c>
      <c r="V94" s="28" t="s">
        <v>6</v>
      </c>
      <c r="W94" s="28" t="s">
        <v>6</v>
      </c>
      <c r="X94" s="28" t="s">
        <v>6</v>
      </c>
      <c r="Y94" s="158">
        <v>3</v>
      </c>
      <c r="Z94" s="17"/>
      <c r="AA94" s="173">
        <f t="shared" si="6"/>
        <v>1.4044943820224719E-2</v>
      </c>
      <c r="AB94" s="174">
        <f>Master_Data[[#This Row],[Imp. Level]]/SUMIF(Master_Data[Subject],Master_Data[[#This Row],[Subject]],Master_Data[Imp. Level])</f>
        <v>7.4626865671641784E-2</v>
      </c>
      <c r="AC94" s="157">
        <f>Master_Data[[#This Row],[Subjectwise weights]]*Master_Data[[#This Row],[Confidence Level]]</f>
        <v>0.22388059701492535</v>
      </c>
      <c r="AD94" s="273" t="str">
        <f>Master_Data[[#This Row],[Prac. Book]]</f>
        <v>U</v>
      </c>
      <c r="AE94" s="273" t="str">
        <f>Master_Data[[#This Row],[GARP EOC Ques.]]</f>
        <v>U</v>
      </c>
    </row>
    <row r="95" spans="2:31" ht="27" customHeight="1">
      <c r="B95" s="3">
        <v>87</v>
      </c>
      <c r="C95" s="182" t="str">
        <f ca="1">IF(Master_Data[[#This Row],[Column1]]=0,"",IF(Master_Data[[#This Row],[Column1]]=1,"Current Week",CONCATENATE("Week ",Master_Data[[#This Row],[Column1]])))</f>
        <v>Week 42</v>
      </c>
      <c r="D95" s="3">
        <f ca="1">ROUNDUP(Master_Data[[#This Row],[Column2]]/Working!$C$8,0)</f>
        <v>42</v>
      </c>
      <c r="E95" s="151">
        <f>SUM($F$9:F95)</f>
        <v>6.838148148148151</v>
      </c>
      <c r="F95" s="27">
        <f>IF(Master_Data[[#This Row],[Lectures]]="D","",Master_Data[[#This Row],[Duration (hh:mm)]])</f>
        <v>7.4201388888888886E-2</v>
      </c>
      <c r="G95" s="2" t="s">
        <v>186</v>
      </c>
      <c r="H95" s="2">
        <v>82</v>
      </c>
      <c r="I95" s="2" t="s">
        <v>96</v>
      </c>
      <c r="J95" s="45" t="s">
        <v>204</v>
      </c>
      <c r="K95" s="177">
        <v>6</v>
      </c>
      <c r="L95" s="152">
        <v>3</v>
      </c>
      <c r="M95" s="153">
        <v>1</v>
      </c>
      <c r="N95" s="153">
        <v>3</v>
      </c>
      <c r="O95" s="153">
        <v>3</v>
      </c>
      <c r="P95" s="153">
        <v>4</v>
      </c>
      <c r="Q95" s="154">
        <v>3</v>
      </c>
      <c r="R95" s="23">
        <v>7.4201388888888886E-2</v>
      </c>
      <c r="S95" s="43">
        <f>(SUM($R$9:R95)/$R$4)*100</f>
        <v>86.197156796377143</v>
      </c>
      <c r="T95" s="28" t="s">
        <v>6</v>
      </c>
      <c r="U95" s="28" t="s">
        <v>6</v>
      </c>
      <c r="V95" s="28" t="s">
        <v>6</v>
      </c>
      <c r="W95" s="28" t="s">
        <v>6</v>
      </c>
      <c r="X95" s="28" t="s">
        <v>6</v>
      </c>
      <c r="Y95" s="158">
        <v>2</v>
      </c>
      <c r="Z95" s="17"/>
      <c r="AA95" s="173">
        <f t="shared" si="6"/>
        <v>1.1235955056179775E-2</v>
      </c>
      <c r="AB95" s="174">
        <f>Master_Data[[#This Row],[Imp. Level]]/SUMIF(Master_Data[Subject],Master_Data[[#This Row],[Subject]],Master_Data[Imp. Level])</f>
        <v>5.9701492537313432E-2</v>
      </c>
      <c r="AC95" s="157">
        <f>Master_Data[[#This Row],[Subjectwise weights]]*Master_Data[[#This Row],[Confidence Level]]</f>
        <v>0.11940298507462686</v>
      </c>
      <c r="AD95" s="273" t="str">
        <f>Master_Data[[#This Row],[Prac. Book]]</f>
        <v>U</v>
      </c>
      <c r="AE95" s="273" t="str">
        <f>Master_Data[[#This Row],[GARP EOC Ques.]]</f>
        <v>U</v>
      </c>
    </row>
    <row r="96" spans="2:31" ht="27" customHeight="1">
      <c r="B96" s="3">
        <v>88</v>
      </c>
      <c r="C96" s="182" t="str">
        <f ca="1">IF(Master_Data[[#This Row],[Column1]]=0,"",IF(Master_Data[[#This Row],[Column1]]=1,"Current Week",CONCATENATE("Week ",Master_Data[[#This Row],[Column1]])))</f>
        <v>Week 42</v>
      </c>
      <c r="D96" s="3">
        <f ca="1">ROUNDUP(Master_Data[[#This Row],[Column2]]/Working!$C$8,0)</f>
        <v>42</v>
      </c>
      <c r="E96" s="151">
        <f>SUM($F$9:F96)</f>
        <v>6.8903125000000029</v>
      </c>
      <c r="F96" s="27">
        <f>IF(Master_Data[[#This Row],[Lectures]]="D","",Master_Data[[#This Row],[Duration (hh:mm)]])</f>
        <v>5.2164351851851858E-2</v>
      </c>
      <c r="G96" s="2" t="s">
        <v>185</v>
      </c>
      <c r="H96" s="2">
        <v>49</v>
      </c>
      <c r="I96" s="2" t="s">
        <v>96</v>
      </c>
      <c r="J96" s="45" t="s">
        <v>224</v>
      </c>
      <c r="K96" s="177">
        <v>3</v>
      </c>
      <c r="L96" s="152">
        <v>1</v>
      </c>
      <c r="M96" s="153">
        <v>1</v>
      </c>
      <c r="N96" s="153">
        <v>2</v>
      </c>
      <c r="O96" s="153">
        <v>2</v>
      </c>
      <c r="P96" s="153">
        <v>2</v>
      </c>
      <c r="Q96" s="154">
        <v>2</v>
      </c>
      <c r="R96" s="23">
        <v>5.2164351851851858E-2</v>
      </c>
      <c r="S96" s="43">
        <f>(SUM($R$9:R96)/$R$4)*100</f>
        <v>86.854705992203378</v>
      </c>
      <c r="T96" s="28" t="s">
        <v>6</v>
      </c>
      <c r="U96" s="28" t="s">
        <v>6</v>
      </c>
      <c r="V96" s="28" t="s">
        <v>6</v>
      </c>
      <c r="W96" s="28" t="s">
        <v>6</v>
      </c>
      <c r="X96" s="28" t="s">
        <v>6</v>
      </c>
      <c r="Y96" s="158">
        <v>3</v>
      </c>
      <c r="Z96" s="17"/>
      <c r="AA96" s="173">
        <f t="shared" si="6"/>
        <v>5.6179775280898875E-3</v>
      </c>
      <c r="AB96" s="174">
        <f>Master_Data[[#This Row],[Imp. Level]]/SUMIF(Master_Data[Subject],Master_Data[[#This Row],[Subject]],Master_Data[Imp. Level])</f>
        <v>2.7777777777777776E-2</v>
      </c>
      <c r="AC96" s="157">
        <f>Master_Data[[#This Row],[Subjectwise weights]]*Master_Data[[#This Row],[Confidence Level]]</f>
        <v>8.3333333333333329E-2</v>
      </c>
      <c r="AD96" s="273" t="str">
        <f>Master_Data[[#This Row],[Prac. Book]]</f>
        <v>U</v>
      </c>
      <c r="AE96" s="273" t="str">
        <f>Master_Data[[#This Row],[GARP EOC Ques.]]</f>
        <v>U</v>
      </c>
    </row>
    <row r="97" spans="2:31" ht="27" customHeight="1">
      <c r="B97" s="3">
        <v>89</v>
      </c>
      <c r="C97" s="182" t="str">
        <f ca="1">IF(Master_Data[[#This Row],[Column1]]=0,"",IF(Master_Data[[#This Row],[Column1]]=1,"Current Week",CONCATENATE("Week ",Master_Data[[#This Row],[Column1]])))</f>
        <v>Week 42</v>
      </c>
      <c r="D97" s="3">
        <f ca="1">ROUNDUP(Master_Data[[#This Row],[Column2]]/Working!$C$8,0)</f>
        <v>42</v>
      </c>
      <c r="E97" s="151">
        <f>SUM($F$9:F97)</f>
        <v>6.9431828703703733</v>
      </c>
      <c r="F97" s="27">
        <f>IF(Master_Data[[#This Row],[Lectures]]="D","",Master_Data[[#This Row],[Duration (hh:mm)]])</f>
        <v>5.2870370370370373E-2</v>
      </c>
      <c r="G97" s="2" t="s">
        <v>185</v>
      </c>
      <c r="H97" s="2">
        <v>50</v>
      </c>
      <c r="I97" s="2" t="s">
        <v>96</v>
      </c>
      <c r="J97" s="45" t="s">
        <v>263</v>
      </c>
      <c r="K97" s="177">
        <v>2</v>
      </c>
      <c r="L97" s="152">
        <v>2</v>
      </c>
      <c r="M97" s="153">
        <v>1</v>
      </c>
      <c r="N97" s="153">
        <v>3</v>
      </c>
      <c r="O97" s="153">
        <v>2</v>
      </c>
      <c r="P97" s="153">
        <v>3</v>
      </c>
      <c r="Q97" s="154">
        <v>2</v>
      </c>
      <c r="R97" s="23">
        <v>5.2870370370370373E-2</v>
      </c>
      <c r="S97" s="43">
        <f>(SUM($R$9:R97)/$R$4)*100</f>
        <v>87.521154788860628</v>
      </c>
      <c r="T97" s="28" t="s">
        <v>6</v>
      </c>
      <c r="U97" s="28" t="s">
        <v>6</v>
      </c>
      <c r="V97" s="28" t="s">
        <v>6</v>
      </c>
      <c r="W97" s="28" t="s">
        <v>6</v>
      </c>
      <c r="X97" s="28" t="s">
        <v>6</v>
      </c>
      <c r="Y97" s="158">
        <v>3</v>
      </c>
      <c r="Z97" s="17"/>
      <c r="AA97" s="173">
        <f t="shared" si="6"/>
        <v>8.4269662921348312E-3</v>
      </c>
      <c r="AB97" s="174">
        <f>Master_Data[[#This Row],[Imp. Level]]/SUMIF(Master_Data[Subject],Master_Data[[#This Row],[Subject]],Master_Data[Imp. Level])</f>
        <v>4.1666666666666664E-2</v>
      </c>
      <c r="AC97" s="157">
        <f>Master_Data[[#This Row],[Subjectwise weights]]*Master_Data[[#This Row],[Confidence Level]]</f>
        <v>0.125</v>
      </c>
      <c r="AD97" s="273" t="str">
        <f>Master_Data[[#This Row],[Prac. Book]]</f>
        <v>U</v>
      </c>
      <c r="AE97" s="273" t="str">
        <f>Master_Data[[#This Row],[GARP EOC Ques.]]</f>
        <v>U</v>
      </c>
    </row>
    <row r="98" spans="2:31" ht="27" customHeight="1">
      <c r="B98" s="3">
        <v>90</v>
      </c>
      <c r="C98" s="182" t="str">
        <f ca="1">IF(Master_Data[[#This Row],[Column1]]=0,"",IF(Master_Data[[#This Row],[Column1]]=1,"Current Week",CONCATENATE("Week ",Master_Data[[#This Row],[Column1]])))</f>
        <v>Week 48</v>
      </c>
      <c r="D98" s="3">
        <f ca="1">ROUNDUP(Master_Data[[#This Row],[Column2]]/Working!$C$8,0)</f>
        <v>48</v>
      </c>
      <c r="E98" s="151">
        <f>SUM($F$9:F114)</f>
        <v>7.9331481481481507</v>
      </c>
      <c r="F98" s="27">
        <f>IF(Master_Data[[#This Row],[Lectures]]="D","",Master_Data[[#This Row],[Duration (hh:mm)]])</f>
        <v>0.1248611111111111</v>
      </c>
      <c r="G98" s="2" t="s">
        <v>205</v>
      </c>
      <c r="H98" s="2">
        <v>99</v>
      </c>
      <c r="I98" s="2" t="s">
        <v>96</v>
      </c>
      <c r="J98" s="45" t="s">
        <v>264</v>
      </c>
      <c r="K98" s="177">
        <v>4</v>
      </c>
      <c r="L98" s="152">
        <v>3</v>
      </c>
      <c r="M98" s="153">
        <v>1</v>
      </c>
      <c r="N98" s="153">
        <v>2</v>
      </c>
      <c r="O98" s="153">
        <v>3</v>
      </c>
      <c r="P98" s="153">
        <v>3</v>
      </c>
      <c r="Q98" s="154">
        <v>3</v>
      </c>
      <c r="R98" s="23">
        <v>0.1248611111111111</v>
      </c>
      <c r="S98" s="43">
        <f>(SUM($R$9:R98)/$R$4)*100</f>
        <v>89.095071080090577</v>
      </c>
      <c r="T98" s="28" t="s">
        <v>6</v>
      </c>
      <c r="U98" s="28" t="s">
        <v>6</v>
      </c>
      <c r="V98" s="28" t="s">
        <v>6</v>
      </c>
      <c r="W98" s="28" t="s">
        <v>6</v>
      </c>
      <c r="X98" s="28" t="s">
        <v>6</v>
      </c>
      <c r="Y98" s="158">
        <v>3</v>
      </c>
      <c r="Z98" s="17"/>
      <c r="AA98" s="173">
        <f t="shared" si="6"/>
        <v>8.4269662921348312E-3</v>
      </c>
      <c r="AB98" s="174">
        <f>Master_Data[[#This Row],[Imp. Level]]/SUMIF(Master_Data[Subject],Master_Data[[#This Row],[Subject]],Master_Data[Imp. Level])</f>
        <v>0.1</v>
      </c>
      <c r="AC98" s="157">
        <f>Master_Data[[#This Row],[Subjectwise weights]]*Master_Data[[#This Row],[Confidence Level]]</f>
        <v>0.30000000000000004</v>
      </c>
      <c r="AD98" s="273" t="str">
        <f>Master_Data[[#This Row],[Prac. Book]]</f>
        <v>U</v>
      </c>
      <c r="AE98" s="273" t="str">
        <f>Master_Data[[#This Row],[GARP EOC Ques.]]</f>
        <v>U</v>
      </c>
    </row>
    <row r="99" spans="2:31" ht="27" customHeight="1">
      <c r="B99" s="3">
        <v>91</v>
      </c>
      <c r="C99" s="182" t="str">
        <f ca="1">IF(Master_Data[[#This Row],[Column1]]=0,"",IF(Master_Data[[#This Row],[Column1]]=1,"Current Week",CONCATENATE("Week ",Master_Data[[#This Row],[Column1]])))</f>
        <v>Week 44</v>
      </c>
      <c r="D99" s="3">
        <f ca="1">ROUNDUP(Master_Data[[#This Row],[Column2]]/Working!$C$8,0)</f>
        <v>44</v>
      </c>
      <c r="E99" s="151">
        <f>SUM($F$9:F99)</f>
        <v>7.1680092592592626</v>
      </c>
      <c r="F99" s="27">
        <f>IF(Master_Data[[#This Row],[Lectures]]="D","",Master_Data[[#This Row],[Duration (hh:mm)]])</f>
        <v>9.9965277777777792E-2</v>
      </c>
      <c r="G99" s="2" t="s">
        <v>205</v>
      </c>
      <c r="H99" s="2">
        <v>100</v>
      </c>
      <c r="I99" s="2" t="s">
        <v>96</v>
      </c>
      <c r="J99" s="271" t="s">
        <v>265</v>
      </c>
      <c r="K99" s="177">
        <v>6</v>
      </c>
      <c r="L99" s="152">
        <v>3</v>
      </c>
      <c r="M99" s="153">
        <v>1</v>
      </c>
      <c r="N99" s="153">
        <v>2</v>
      </c>
      <c r="O99" s="153">
        <v>3</v>
      </c>
      <c r="P99" s="153">
        <v>3</v>
      </c>
      <c r="Q99" s="154">
        <v>3</v>
      </c>
      <c r="R99" s="23">
        <v>9.9965277777777792E-2</v>
      </c>
      <c r="S99" s="43">
        <f>(SUM($R$9:R99)/$R$4)*100</f>
        <v>90.355167020705437</v>
      </c>
      <c r="T99" s="28" t="s">
        <v>6</v>
      </c>
      <c r="U99" s="28" t="s">
        <v>6</v>
      </c>
      <c r="V99" s="28" t="s">
        <v>6</v>
      </c>
      <c r="W99" s="28" t="s">
        <v>6</v>
      </c>
      <c r="X99" s="28" t="s">
        <v>6</v>
      </c>
      <c r="Y99" s="158">
        <v>3</v>
      </c>
      <c r="Z99" s="17"/>
      <c r="AA99" s="173">
        <f t="shared" si="6"/>
        <v>8.4269662921348312E-3</v>
      </c>
      <c r="AB99" s="174">
        <f>Master_Data[[#This Row],[Imp. Level]]/SUMIF(Master_Data[Subject],Master_Data[[#This Row],[Subject]],Master_Data[Imp. Level])</f>
        <v>0.1</v>
      </c>
      <c r="AC99" s="157">
        <f>Master_Data[[#This Row],[Subjectwise weights]]*Master_Data[[#This Row],[Confidence Level]]</f>
        <v>0.30000000000000004</v>
      </c>
      <c r="AD99" s="273" t="str">
        <f>Master_Data[[#This Row],[Prac. Book]]</f>
        <v>U</v>
      </c>
      <c r="AE99" s="273" t="str">
        <f>Master_Data[[#This Row],[GARP EOC Ques.]]</f>
        <v>U</v>
      </c>
    </row>
    <row r="100" spans="2:31" ht="27" customHeight="1">
      <c r="B100" s="3">
        <v>92</v>
      </c>
      <c r="C100" s="182" t="str">
        <f ca="1">IF(Master_Data[[#This Row],[Column1]]=0,"",IF(Master_Data[[#This Row],[Column1]]=1,"Current Week",CONCATENATE("Week ",Master_Data[[#This Row],[Column1]])))</f>
        <v>Week 44</v>
      </c>
      <c r="D100" s="3">
        <f ca="1">ROUNDUP(Master_Data[[#This Row],[Column2]]/Working!$C$8,0)</f>
        <v>44</v>
      </c>
      <c r="E100" s="151">
        <f>SUM($F$9:F100)</f>
        <v>7.2177546296296331</v>
      </c>
      <c r="F100" s="27">
        <f>IF(Master_Data[[#This Row],[Lectures]]="D","",Master_Data[[#This Row],[Duration (hh:mm)]])</f>
        <v>4.9745370370370377E-2</v>
      </c>
      <c r="G100" s="2" t="s">
        <v>205</v>
      </c>
      <c r="H100" s="2">
        <v>101</v>
      </c>
      <c r="I100" s="2" t="s">
        <v>95</v>
      </c>
      <c r="J100" s="271" t="s">
        <v>266</v>
      </c>
      <c r="K100" s="177">
        <v>4</v>
      </c>
      <c r="L100" s="152">
        <v>3</v>
      </c>
      <c r="M100" s="153">
        <v>1</v>
      </c>
      <c r="N100" s="153">
        <v>2</v>
      </c>
      <c r="O100" s="153">
        <v>2</v>
      </c>
      <c r="P100" s="153">
        <v>3</v>
      </c>
      <c r="Q100" s="154">
        <v>2</v>
      </c>
      <c r="R100" s="23">
        <v>4.9745370370370377E-2</v>
      </c>
      <c r="S100" s="43">
        <f>(SUM($R$9:R100)/$R$4)*100</f>
        <v>90.982224141553274</v>
      </c>
      <c r="T100" s="28" t="s">
        <v>6</v>
      </c>
      <c r="U100" s="28" t="s">
        <v>6</v>
      </c>
      <c r="V100" s="28" t="s">
        <v>6</v>
      </c>
      <c r="W100" s="28" t="s">
        <v>6</v>
      </c>
      <c r="X100" s="28" t="s">
        <v>6</v>
      </c>
      <c r="Y100" s="158">
        <v>3</v>
      </c>
      <c r="Z100" s="17"/>
      <c r="AA100" s="173">
        <f t="shared" si="6"/>
        <v>8.4269662921348312E-3</v>
      </c>
      <c r="AB100" s="174">
        <f>Master_Data[[#This Row],[Imp. Level]]/SUMIF(Master_Data[Subject],Master_Data[[#This Row],[Subject]],Master_Data[Imp. Level])</f>
        <v>0.1</v>
      </c>
      <c r="AC100" s="157">
        <f>Master_Data[[#This Row],[Subjectwise weights]]*Master_Data[[#This Row],[Confidence Level]]</f>
        <v>0.30000000000000004</v>
      </c>
      <c r="AD100" s="273" t="str">
        <f>Master_Data[[#This Row],[Prac. Book]]</f>
        <v>U</v>
      </c>
      <c r="AE100" s="273" t="str">
        <f>Master_Data[[#This Row],[GARP EOC Ques.]]</f>
        <v>U</v>
      </c>
    </row>
    <row r="101" spans="2:31" ht="27" customHeight="1">
      <c r="B101" s="3">
        <v>93</v>
      </c>
      <c r="C101" s="182" t="str">
        <f ca="1">IF(Master_Data[[#This Row],[Column1]]=0,"",IF(Master_Data[[#This Row],[Column1]]=1,"Current Week",CONCATENATE("Week ",Master_Data[[#This Row],[Column1]])))</f>
        <v>Week 44</v>
      </c>
      <c r="D101" s="3">
        <f ca="1">ROUNDUP(Master_Data[[#This Row],[Column2]]/Working!$C$8,0)</f>
        <v>44</v>
      </c>
      <c r="E101" s="151">
        <f>SUM($F$9:F101)</f>
        <v>7.2817708333333364</v>
      </c>
      <c r="F101" s="27">
        <f>IF(Master_Data[[#This Row],[Lectures]]="D","",Master_Data[[#This Row],[Duration (hh:mm)]])</f>
        <v>6.40162037037037E-2</v>
      </c>
      <c r="G101" s="2" t="s">
        <v>185</v>
      </c>
      <c r="H101" s="2">
        <v>40</v>
      </c>
      <c r="I101" s="2" t="s">
        <v>96</v>
      </c>
      <c r="J101" s="45" t="s">
        <v>217</v>
      </c>
      <c r="K101" s="177">
        <v>4</v>
      </c>
      <c r="L101" s="152">
        <v>4</v>
      </c>
      <c r="M101" s="153">
        <v>1</v>
      </c>
      <c r="N101" s="153">
        <v>2</v>
      </c>
      <c r="O101" s="153">
        <v>3</v>
      </c>
      <c r="P101" s="153">
        <v>2</v>
      </c>
      <c r="Q101" s="154">
        <v>3</v>
      </c>
      <c r="R101" s="23">
        <v>6.40162037037037E-2</v>
      </c>
      <c r="S101" s="43">
        <f>(SUM($R$9:R101)/$R$4)*100</f>
        <v>91.789169915264139</v>
      </c>
      <c r="T101" s="28" t="s">
        <v>6</v>
      </c>
      <c r="U101" s="28" t="s">
        <v>6</v>
      </c>
      <c r="V101" s="28" t="s">
        <v>6</v>
      </c>
      <c r="W101" s="28" t="s">
        <v>6</v>
      </c>
      <c r="X101" s="28" t="s">
        <v>6</v>
      </c>
      <c r="Y101" s="158">
        <v>3</v>
      </c>
      <c r="Z101" s="17"/>
      <c r="AA101" s="173">
        <f t="shared" si="6"/>
        <v>5.6179775280898875E-3</v>
      </c>
      <c r="AB101" s="174">
        <f>Master_Data[[#This Row],[Imp. Level]]/SUMIF(Master_Data[Subject],Master_Data[[#This Row],[Subject]],Master_Data[Imp. Level])</f>
        <v>2.7777777777777776E-2</v>
      </c>
      <c r="AC101" s="157">
        <f>Master_Data[[#This Row],[Subjectwise weights]]*Master_Data[[#This Row],[Confidence Level]]</f>
        <v>8.3333333333333329E-2</v>
      </c>
      <c r="AD101" s="273" t="str">
        <f>Master_Data[[#This Row],[Prac. Book]]</f>
        <v>U</v>
      </c>
      <c r="AE101" s="273" t="str">
        <f>Master_Data[[#This Row],[GARP EOC Ques.]]</f>
        <v>U</v>
      </c>
    </row>
    <row r="102" spans="2:31" ht="27" customHeight="1">
      <c r="B102" s="3">
        <v>94</v>
      </c>
      <c r="C102" s="182" t="str">
        <f ca="1">IF(Master_Data[[#This Row],[Column1]]=0,"",IF(Master_Data[[#This Row],[Column1]]=1,"Current Week",CONCATENATE("Week ",Master_Data[[#This Row],[Column1]])))</f>
        <v>Week 45</v>
      </c>
      <c r="D102" s="3">
        <f ca="1">ROUNDUP(Master_Data[[#This Row],[Column2]]/Working!$C$8,0)</f>
        <v>45</v>
      </c>
      <c r="E102" s="151">
        <f>SUM($F$9:F102)</f>
        <v>7.3599421296296326</v>
      </c>
      <c r="F102" s="27">
        <f>IF(Master_Data[[#This Row],[Lectures]]="D","",Master_Data[[#This Row],[Duration (hh:mm)]])</f>
        <v>7.8171296296296308E-2</v>
      </c>
      <c r="G102" s="2" t="s">
        <v>185</v>
      </c>
      <c r="H102" s="2">
        <v>47</v>
      </c>
      <c r="I102" s="2" t="s">
        <v>96</v>
      </c>
      <c r="J102" s="45" t="s">
        <v>267</v>
      </c>
      <c r="K102" s="177">
        <v>5</v>
      </c>
      <c r="L102" s="152">
        <v>3</v>
      </c>
      <c r="M102" s="153">
        <v>1</v>
      </c>
      <c r="N102" s="153">
        <v>2</v>
      </c>
      <c r="O102" s="153">
        <v>2</v>
      </c>
      <c r="P102" s="153">
        <v>2</v>
      </c>
      <c r="Q102" s="154">
        <v>3</v>
      </c>
      <c r="R102" s="23">
        <v>7.8171296296296308E-2</v>
      </c>
      <c r="S102" s="43">
        <f>(SUM($R$9:R102)/$R$4)*100</f>
        <v>92.774545390882139</v>
      </c>
      <c r="T102" s="28" t="s">
        <v>6</v>
      </c>
      <c r="U102" s="28" t="s">
        <v>6</v>
      </c>
      <c r="V102" s="28" t="s">
        <v>6</v>
      </c>
      <c r="W102" s="28" t="s">
        <v>6</v>
      </c>
      <c r="X102" s="28" t="s">
        <v>6</v>
      </c>
      <c r="Y102" s="158">
        <v>2</v>
      </c>
      <c r="Z102" s="17"/>
      <c r="AA102" s="173">
        <f t="shared" si="6"/>
        <v>5.6179775280898875E-3</v>
      </c>
      <c r="AB102" s="174">
        <f>Master_Data[[#This Row],[Imp. Level]]/SUMIF(Master_Data[Subject],Master_Data[[#This Row],[Subject]],Master_Data[Imp. Level])</f>
        <v>2.7777777777777776E-2</v>
      </c>
      <c r="AC102" s="157">
        <f>Master_Data[[#This Row],[Subjectwise weights]]*Master_Data[[#This Row],[Confidence Level]]</f>
        <v>5.5555555555555552E-2</v>
      </c>
      <c r="AD102" s="273" t="str">
        <f>Master_Data[[#This Row],[Prac. Book]]</f>
        <v>U</v>
      </c>
      <c r="AE102" s="273" t="str">
        <f>Master_Data[[#This Row],[GARP EOC Ques.]]</f>
        <v>U</v>
      </c>
    </row>
    <row r="103" spans="2:31" ht="27" customHeight="1">
      <c r="B103" s="3">
        <v>95</v>
      </c>
      <c r="C103" s="182" t="str">
        <f ca="1">IF(Master_Data[[#This Row],[Column1]]=0,"",IF(Master_Data[[#This Row],[Column1]]=1,"Current Week",CONCATENATE("Week ",Master_Data[[#This Row],[Column1]])))</f>
        <v>Week 45</v>
      </c>
      <c r="D103" s="3">
        <f ca="1">ROUNDUP(Master_Data[[#This Row],[Column2]]/Working!$C$8,0)</f>
        <v>45</v>
      </c>
      <c r="E103" s="151">
        <f>SUM($F$9:F103)</f>
        <v>7.388402777777781</v>
      </c>
      <c r="F103" s="27">
        <f>IF(Master_Data[[#This Row],[Lectures]]="D","",Master_Data[[#This Row],[Duration (hh:mm)]])</f>
        <v>2.8460648148148148E-2</v>
      </c>
      <c r="G103" s="2" t="s">
        <v>185</v>
      </c>
      <c r="H103" s="2">
        <v>48</v>
      </c>
      <c r="I103" s="2" t="s">
        <v>96</v>
      </c>
      <c r="J103" s="45" t="s">
        <v>268</v>
      </c>
      <c r="K103" s="177">
        <v>2</v>
      </c>
      <c r="L103" s="152">
        <v>2</v>
      </c>
      <c r="M103" s="153">
        <v>1</v>
      </c>
      <c r="N103" s="153">
        <v>2</v>
      </c>
      <c r="O103" s="153">
        <v>2</v>
      </c>
      <c r="P103" s="153">
        <v>2</v>
      </c>
      <c r="Q103" s="154">
        <v>2</v>
      </c>
      <c r="R103" s="23">
        <v>2.8460648148148148E-2</v>
      </c>
      <c r="S103" s="43">
        <f>(SUM($R$9:R103)/$R$4)*100</f>
        <v>93.133301430939113</v>
      </c>
      <c r="T103" s="28" t="s">
        <v>6</v>
      </c>
      <c r="U103" s="28" t="s">
        <v>6</v>
      </c>
      <c r="V103" s="28" t="s">
        <v>6</v>
      </c>
      <c r="W103" s="28" t="s">
        <v>6</v>
      </c>
      <c r="X103" s="28" t="s">
        <v>6</v>
      </c>
      <c r="Y103" s="158">
        <v>3</v>
      </c>
      <c r="Z103" s="17"/>
      <c r="AA103" s="173">
        <f t="shared" si="6"/>
        <v>5.6179775280898875E-3</v>
      </c>
      <c r="AB103" s="174">
        <f>Master_Data[[#This Row],[Imp. Level]]/SUMIF(Master_Data[Subject],Master_Data[[#This Row],[Subject]],Master_Data[Imp. Level])</f>
        <v>2.7777777777777776E-2</v>
      </c>
      <c r="AC103" s="157">
        <f>Master_Data[[#This Row],[Subjectwise weights]]*Master_Data[[#This Row],[Confidence Level]]</f>
        <v>8.3333333333333329E-2</v>
      </c>
      <c r="AD103" s="273" t="str">
        <f>Master_Data[[#This Row],[Prac. Book]]</f>
        <v>U</v>
      </c>
      <c r="AE103" s="273" t="str">
        <f>Master_Data[[#This Row],[GARP EOC Ques.]]</f>
        <v>U</v>
      </c>
    </row>
    <row r="104" spans="2:31" ht="27.6" customHeight="1">
      <c r="B104" s="3">
        <v>96</v>
      </c>
      <c r="C104" s="182" t="str">
        <f ca="1">IF(Master_Data[[#This Row],[Column1]]=0,"",IF(Master_Data[[#This Row],[Column1]]=1,"Current Week",CONCATENATE("Week ",Master_Data[[#This Row],[Column1]])))</f>
        <v>Week 48</v>
      </c>
      <c r="D104" s="3">
        <f ca="1">ROUNDUP(Master_Data[[#This Row],[Column2]]/Working!$C$8,0)</f>
        <v>48</v>
      </c>
      <c r="E104" s="151">
        <f>SUM($F$9:F111)</f>
        <v>7.9331481481481507</v>
      </c>
      <c r="F104" s="27">
        <f>IF(Master_Data[[#This Row],[Lectures]]="D","",Master_Data[[#This Row],[Duration (hh:mm)]])</f>
        <v>2.3217592592592592E-2</v>
      </c>
      <c r="G104" s="2" t="s">
        <v>185</v>
      </c>
      <c r="H104" s="2">
        <v>53</v>
      </c>
      <c r="I104" s="2" t="s">
        <v>96</v>
      </c>
      <c r="J104" s="45" t="s">
        <v>269</v>
      </c>
      <c r="K104" s="177">
        <v>2</v>
      </c>
      <c r="L104" s="152">
        <v>2</v>
      </c>
      <c r="M104" s="153">
        <v>1</v>
      </c>
      <c r="N104" s="153">
        <v>3</v>
      </c>
      <c r="O104" s="153">
        <v>2</v>
      </c>
      <c r="P104" s="153">
        <v>2</v>
      </c>
      <c r="Q104" s="154">
        <v>2</v>
      </c>
      <c r="R104" s="23">
        <v>2.3217592592592592E-2</v>
      </c>
      <c r="S104" s="43">
        <f>(SUM($R$9:R104)/$R$4)*100</f>
        <v>93.425966992693589</v>
      </c>
      <c r="T104" s="28" t="s">
        <v>6</v>
      </c>
      <c r="U104" s="28" t="s">
        <v>6</v>
      </c>
      <c r="V104" s="28" t="s">
        <v>6</v>
      </c>
      <c r="W104" s="28" t="s">
        <v>6</v>
      </c>
      <c r="X104" s="28" t="s">
        <v>6</v>
      </c>
      <c r="Y104" s="158">
        <v>3</v>
      </c>
      <c r="Z104" s="17"/>
      <c r="AA104" s="173">
        <f t="shared" si="6"/>
        <v>5.6179775280898875E-3</v>
      </c>
      <c r="AB104" s="174">
        <f>Master_Data[[#This Row],[Imp. Level]]/SUMIF(Master_Data[Subject],Master_Data[[#This Row],[Subject]],Master_Data[Imp. Level])</f>
        <v>2.7777777777777776E-2</v>
      </c>
      <c r="AC104" s="157">
        <f>Master_Data[[#This Row],[Subjectwise weights]]*Master_Data[[#This Row],[Confidence Level]]</f>
        <v>8.3333333333333329E-2</v>
      </c>
      <c r="AD104" s="273" t="str">
        <f>Master_Data[[#This Row],[Prac. Book]]</f>
        <v>U</v>
      </c>
      <c r="AE104" s="273" t="str">
        <f>Master_Data[[#This Row],[GARP EOC Ques.]]</f>
        <v>U</v>
      </c>
    </row>
    <row r="105" spans="2:31" ht="27.6" customHeight="1">
      <c r="B105" s="3">
        <v>97</v>
      </c>
      <c r="C105" s="182" t="str">
        <f ca="1">IF(Master_Data[[#This Row],[Column1]]=0,"",IF(Master_Data[[#This Row],[Column1]]=1,"Current Week",CONCATENATE("Week ",Master_Data[[#This Row],[Column1]])))</f>
        <v>Week 46</v>
      </c>
      <c r="D105" s="3">
        <f ca="1">ROUNDUP(Master_Data[[#This Row],[Column2]]/Working!$C$8,0)</f>
        <v>46</v>
      </c>
      <c r="E105" s="151">
        <f>SUM($F$9:F105)</f>
        <v>7.4956481481481516</v>
      </c>
      <c r="F105" s="27">
        <f>IF(Master_Data[[#This Row],[Lectures]]="D","",Master_Data[[#This Row],[Duration (hh:mm)]])</f>
        <v>8.4027777777777785E-2</v>
      </c>
      <c r="G105" s="2" t="s">
        <v>205</v>
      </c>
      <c r="H105" s="2">
        <v>94</v>
      </c>
      <c r="I105" s="2" t="s">
        <v>97</v>
      </c>
      <c r="J105" s="45" t="s">
        <v>270</v>
      </c>
      <c r="K105" s="177">
        <v>6</v>
      </c>
      <c r="L105" s="152">
        <v>4</v>
      </c>
      <c r="M105" s="153">
        <v>1</v>
      </c>
      <c r="N105" s="153">
        <v>3</v>
      </c>
      <c r="O105" s="153">
        <v>2</v>
      </c>
      <c r="P105" s="153">
        <v>3</v>
      </c>
      <c r="Q105" s="154">
        <v>3</v>
      </c>
      <c r="R105" s="23">
        <v>8.4027777777777785E-2</v>
      </c>
      <c r="S105" s="43">
        <f>(SUM($R$9:R105)/$R$4)*100</f>
        <v>94.485165386680364</v>
      </c>
      <c r="T105" s="28" t="s">
        <v>6</v>
      </c>
      <c r="U105" s="28" t="s">
        <v>6</v>
      </c>
      <c r="V105" s="28" t="s">
        <v>6</v>
      </c>
      <c r="W105" s="28" t="s">
        <v>6</v>
      </c>
      <c r="X105" s="28" t="s">
        <v>6</v>
      </c>
      <c r="Y105" s="158">
        <v>3</v>
      </c>
      <c r="Z105" s="17"/>
      <c r="AA105" s="173">
        <f t="shared" si="6"/>
        <v>8.4269662921348312E-3</v>
      </c>
      <c r="AB105" s="174">
        <f>Master_Data[[#This Row],[Imp. Level]]/SUMIF(Master_Data[Subject],Master_Data[[#This Row],[Subject]],Master_Data[Imp. Level])</f>
        <v>0.1</v>
      </c>
      <c r="AC105" s="157">
        <f>Master_Data[[#This Row],[Subjectwise weights]]*Master_Data[[#This Row],[Confidence Level]]</f>
        <v>0.30000000000000004</v>
      </c>
      <c r="AD105" s="273" t="str">
        <f>Master_Data[[#This Row],[Prac. Book]]</f>
        <v>U</v>
      </c>
      <c r="AE105" s="273" t="str">
        <f>Master_Data[[#This Row],[GARP EOC Ques.]]</f>
        <v>U</v>
      </c>
    </row>
    <row r="106" spans="2:31" ht="27.6" customHeight="1">
      <c r="B106" s="3">
        <v>98</v>
      </c>
      <c r="C106" s="182" t="str">
        <f ca="1">IF(Master_Data[[#This Row],[Column1]]=0,"",IF(Master_Data[[#This Row],[Column1]]=1,"Current Week",CONCATENATE("Week ",Master_Data[[#This Row],[Column1]])))</f>
        <v>Week 46</v>
      </c>
      <c r="D106" s="3">
        <f ca="1">ROUNDUP(Master_Data[[#This Row],[Column2]]/Working!$C$8,0)</f>
        <v>46</v>
      </c>
      <c r="E106" s="151">
        <f>SUM($F$9:F106)</f>
        <v>7.562314814814818</v>
      </c>
      <c r="F106" s="27">
        <f>IF(Master_Data[[#This Row],[Lectures]]="D","",Master_Data[[#This Row],[Duration (hh:mm)]])</f>
        <v>6.6666666666666666E-2</v>
      </c>
      <c r="G106" s="2" t="s">
        <v>205</v>
      </c>
      <c r="H106" s="2">
        <v>95</v>
      </c>
      <c r="I106" s="2" t="s">
        <v>97</v>
      </c>
      <c r="J106" s="45" t="s">
        <v>271</v>
      </c>
      <c r="K106" s="177">
        <v>4</v>
      </c>
      <c r="L106" s="152">
        <v>3</v>
      </c>
      <c r="M106" s="153">
        <v>1</v>
      </c>
      <c r="N106" s="153">
        <v>3</v>
      </c>
      <c r="O106" s="153">
        <v>2</v>
      </c>
      <c r="P106" s="153">
        <v>3</v>
      </c>
      <c r="Q106" s="154">
        <v>2</v>
      </c>
      <c r="R106" s="23">
        <v>6.6666666666666666E-2</v>
      </c>
      <c r="S106" s="43">
        <f>(SUM($R$9:R106)/$R$4)*100</f>
        <v>95.325521137281456</v>
      </c>
      <c r="T106" s="28" t="s">
        <v>6</v>
      </c>
      <c r="U106" s="28" t="s">
        <v>6</v>
      </c>
      <c r="V106" s="28" t="s">
        <v>6</v>
      </c>
      <c r="W106" s="28" t="s">
        <v>6</v>
      </c>
      <c r="X106" s="28" t="s">
        <v>6</v>
      </c>
      <c r="Y106" s="158">
        <v>2</v>
      </c>
      <c r="Z106" s="17"/>
      <c r="AA106" s="173">
        <f t="shared" si="6"/>
        <v>8.4269662921348312E-3</v>
      </c>
      <c r="AB106" s="174">
        <f>Master_Data[[#This Row],[Imp. Level]]/SUMIF(Master_Data[Subject],Master_Data[[#This Row],[Subject]],Master_Data[Imp. Level])</f>
        <v>0.1</v>
      </c>
      <c r="AC106" s="157">
        <f>Master_Data[[#This Row],[Subjectwise weights]]*Master_Data[[#This Row],[Confidence Level]]</f>
        <v>0.2</v>
      </c>
      <c r="AD106" s="273" t="str">
        <f>Master_Data[[#This Row],[Prac. Book]]</f>
        <v>U</v>
      </c>
      <c r="AE106" s="273" t="str">
        <f>Master_Data[[#This Row],[GARP EOC Ques.]]</f>
        <v>U</v>
      </c>
    </row>
    <row r="107" spans="2:31" ht="27.6" customHeight="1">
      <c r="B107" s="3">
        <v>99</v>
      </c>
      <c r="C107" s="182" t="str">
        <f ca="1">IF(Master_Data[[#This Row],[Column1]]=0,"",IF(Master_Data[[#This Row],[Column1]]=1,"Current Week",CONCATENATE("Week ",Master_Data[[#This Row],[Column1]])))</f>
        <v>Week 46</v>
      </c>
      <c r="D107" s="3">
        <f ca="1">ROUNDUP(Master_Data[[#This Row],[Column2]]/Working!$C$8,0)</f>
        <v>46</v>
      </c>
      <c r="E107" s="151">
        <f>SUM($F$9:F107)</f>
        <v>7.6088425925925955</v>
      </c>
      <c r="F107" s="27">
        <f>IF(Master_Data[[#This Row],[Lectures]]="D","",Master_Data[[#This Row],[Duration (hh:mm)]])</f>
        <v>4.6527777777777779E-2</v>
      </c>
      <c r="G107" s="2" t="s">
        <v>205</v>
      </c>
      <c r="H107" s="2">
        <v>96</v>
      </c>
      <c r="I107" s="2" t="s">
        <v>97</v>
      </c>
      <c r="J107" s="45" t="s">
        <v>272</v>
      </c>
      <c r="K107" s="177">
        <v>4</v>
      </c>
      <c r="L107" s="152">
        <v>3</v>
      </c>
      <c r="M107" s="153">
        <v>1</v>
      </c>
      <c r="N107" s="153">
        <v>3</v>
      </c>
      <c r="O107" s="153">
        <v>2</v>
      </c>
      <c r="P107" s="153">
        <v>3</v>
      </c>
      <c r="Q107" s="154">
        <v>3</v>
      </c>
      <c r="R107" s="23">
        <v>4.6527777777777779E-2</v>
      </c>
      <c r="S107" s="43">
        <f>(SUM($R$9:R107)/$R$4)*100</f>
        <v>95.912019421555129</v>
      </c>
      <c r="T107" s="28" t="s">
        <v>6</v>
      </c>
      <c r="U107" s="28" t="s">
        <v>6</v>
      </c>
      <c r="V107" s="28" t="s">
        <v>6</v>
      </c>
      <c r="W107" s="28" t="s">
        <v>6</v>
      </c>
      <c r="X107" s="28" t="s">
        <v>6</v>
      </c>
      <c r="Y107" s="158">
        <v>3</v>
      </c>
      <c r="Z107" s="17"/>
      <c r="AA107" s="173">
        <f t="shared" si="6"/>
        <v>8.4269662921348312E-3</v>
      </c>
      <c r="AB107" s="174">
        <f>Master_Data[[#This Row],[Imp. Level]]/SUMIF(Master_Data[Subject],Master_Data[[#This Row],[Subject]],Master_Data[Imp. Level])</f>
        <v>0.1</v>
      </c>
      <c r="AC107" s="157">
        <f>Master_Data[[#This Row],[Subjectwise weights]]*Master_Data[[#This Row],[Confidence Level]]</f>
        <v>0.30000000000000004</v>
      </c>
      <c r="AD107" s="273" t="str">
        <f>Master_Data[[#This Row],[Prac. Book]]</f>
        <v>U</v>
      </c>
      <c r="AE107" s="273" t="str">
        <f>Master_Data[[#This Row],[GARP EOC Ques.]]</f>
        <v>U</v>
      </c>
    </row>
    <row r="108" spans="2:31" ht="27.6" customHeight="1">
      <c r="B108" s="3">
        <v>100</v>
      </c>
      <c r="C108" s="182" t="str">
        <f ca="1">IF(Master_Data[[#This Row],[Column1]]=0,"",IF(Master_Data[[#This Row],[Column1]]=1,"Current Week",CONCATENATE("Week ",Master_Data[[#This Row],[Column1]])))</f>
        <v>Week 47</v>
      </c>
      <c r="D108" s="3">
        <f ca="1">ROUNDUP(Master_Data[[#This Row],[Column2]]/Working!$C$8,0)</f>
        <v>47</v>
      </c>
      <c r="E108" s="151">
        <f>SUM($F$9:F108)</f>
        <v>7.6803703703703734</v>
      </c>
      <c r="F108" s="27">
        <f>IF(Master_Data[[#This Row],[Lectures]]="D","",Master_Data[[#This Row],[Duration (hh:mm)]])</f>
        <v>7.1527777777777773E-2</v>
      </c>
      <c r="G108" s="2" t="s">
        <v>205</v>
      </c>
      <c r="H108" s="2">
        <v>97</v>
      </c>
      <c r="I108" s="2" t="s">
        <v>97</v>
      </c>
      <c r="J108" s="45" t="s">
        <v>273</v>
      </c>
      <c r="K108" s="177">
        <v>5</v>
      </c>
      <c r="L108" s="152">
        <v>3</v>
      </c>
      <c r="M108" s="153">
        <v>1</v>
      </c>
      <c r="N108" s="153">
        <v>2</v>
      </c>
      <c r="O108" s="153">
        <v>2</v>
      </c>
      <c r="P108" s="153">
        <v>3</v>
      </c>
      <c r="Q108" s="154">
        <v>3</v>
      </c>
      <c r="R108" s="23">
        <v>7.1527777777777773E-2</v>
      </c>
      <c r="S108" s="43">
        <f>(SUM($R$9:R108)/$R$4)*100</f>
        <v>96.813651112304214</v>
      </c>
      <c r="T108" s="28" t="s">
        <v>6</v>
      </c>
      <c r="U108" s="28" t="s">
        <v>6</v>
      </c>
      <c r="V108" s="28" t="s">
        <v>6</v>
      </c>
      <c r="W108" s="28" t="s">
        <v>6</v>
      </c>
      <c r="X108" s="28" t="s">
        <v>6</v>
      </c>
      <c r="Y108" s="158">
        <v>2</v>
      </c>
      <c r="Z108" s="17"/>
      <c r="AA108" s="173">
        <f t="shared" si="6"/>
        <v>8.4269662921348312E-3</v>
      </c>
      <c r="AB108" s="174">
        <f>Master_Data[[#This Row],[Imp. Level]]/SUMIF(Master_Data[Subject],Master_Data[[#This Row],[Subject]],Master_Data[Imp. Level])</f>
        <v>0.1</v>
      </c>
      <c r="AC108" s="157">
        <f>Master_Data[[#This Row],[Subjectwise weights]]*Master_Data[[#This Row],[Confidence Level]]</f>
        <v>0.2</v>
      </c>
      <c r="AD108" s="273" t="str">
        <f>Master_Data[[#This Row],[Prac. Book]]</f>
        <v>U</v>
      </c>
      <c r="AE108" s="273" t="str">
        <f>Master_Data[[#This Row],[GARP EOC Ques.]]</f>
        <v>U</v>
      </c>
    </row>
    <row r="109" spans="2:31" ht="27.6" customHeight="1">
      <c r="B109" s="3">
        <v>101</v>
      </c>
      <c r="C109" s="182" t="str">
        <f ca="1">IF(Master_Data[[#This Row],[Column1]]=0,"",IF(Master_Data[[#This Row],[Column1]]=1,"Current Week",CONCATENATE("Week ",Master_Data[[#This Row],[Column1]])))</f>
        <v>Week 47</v>
      </c>
      <c r="D109" s="3">
        <f ca="1">ROUNDUP(Master_Data[[#This Row],[Column2]]/Working!$C$8,0)</f>
        <v>47</v>
      </c>
      <c r="E109" s="151">
        <f>SUM($F$9:F109)</f>
        <v>7.7713425925925952</v>
      </c>
      <c r="F109" s="27">
        <f>IF(Master_Data[[#This Row],[Lectures]]="D","",Master_Data[[#This Row],[Duration (hh:mm)]])</f>
        <v>9.0972222222222218E-2</v>
      </c>
      <c r="G109" s="2" t="s">
        <v>205</v>
      </c>
      <c r="H109" s="2">
        <v>98</v>
      </c>
      <c r="I109" s="2" t="s">
        <v>97</v>
      </c>
      <c r="J109" s="45" t="s">
        <v>274</v>
      </c>
      <c r="K109" s="177">
        <v>5</v>
      </c>
      <c r="L109" s="152">
        <v>3</v>
      </c>
      <c r="M109" s="153">
        <v>1</v>
      </c>
      <c r="N109" s="153">
        <v>3</v>
      </c>
      <c r="O109" s="153">
        <v>2</v>
      </c>
      <c r="P109" s="153">
        <v>3</v>
      </c>
      <c r="Q109" s="154">
        <v>3</v>
      </c>
      <c r="R109" s="23">
        <v>9.0972222222222218E-2</v>
      </c>
      <c r="S109" s="43">
        <f>(SUM($R$9:R109)/$R$4)*100</f>
        <v>97.960386563645272</v>
      </c>
      <c r="T109" s="28" t="s">
        <v>6</v>
      </c>
      <c r="U109" s="28" t="s">
        <v>6</v>
      </c>
      <c r="V109" s="28" t="s">
        <v>6</v>
      </c>
      <c r="W109" s="28" t="s">
        <v>6</v>
      </c>
      <c r="X109" s="28" t="s">
        <v>6</v>
      </c>
      <c r="Y109" s="158">
        <v>2</v>
      </c>
      <c r="Z109" s="17"/>
      <c r="AA109" s="173">
        <f t="shared" si="6"/>
        <v>8.4269662921348312E-3</v>
      </c>
      <c r="AB109" s="174">
        <f>Master_Data[[#This Row],[Imp. Level]]/SUMIF(Master_Data[Subject],Master_Data[[#This Row],[Subject]],Master_Data[Imp. Level])</f>
        <v>0.1</v>
      </c>
      <c r="AC109" s="157">
        <f>Master_Data[[#This Row],[Subjectwise weights]]*Master_Data[[#This Row],[Confidence Level]]</f>
        <v>0.2</v>
      </c>
      <c r="AD109" s="273" t="str">
        <f>Master_Data[[#This Row],[Prac. Book]]</f>
        <v>U</v>
      </c>
      <c r="AE109" s="273" t="str">
        <f>Master_Data[[#This Row],[GARP EOC Ques.]]</f>
        <v>U</v>
      </c>
    </row>
    <row r="110" spans="2:31" ht="27.6" customHeight="1">
      <c r="B110" s="3">
        <v>102</v>
      </c>
      <c r="C110" s="182" t="str">
        <f ca="1">IF(Master_Data[[#This Row],[Column1]]=0,"",IF(Master_Data[[#This Row],[Column1]]=1,"Current Week",CONCATENATE("Week ",Master_Data[[#This Row],[Column1]])))</f>
        <v>Week 48</v>
      </c>
      <c r="D110" s="3">
        <f ca="1">ROUNDUP(Master_Data[[#This Row],[Column2]]/Working!$C$8,0)</f>
        <v>48</v>
      </c>
      <c r="E110" s="151">
        <f>SUM($F$9:F110)</f>
        <v>7.8824537037037059</v>
      </c>
      <c r="F110" s="27">
        <f>IF(Master_Data[[#This Row],[Lectures]]="D","",Master_Data[[#This Row],[Duration (hh:mm)]])</f>
        <v>0.1111111111111111</v>
      </c>
      <c r="G110" s="2" t="s">
        <v>205</v>
      </c>
      <c r="H110" s="2">
        <v>102</v>
      </c>
      <c r="I110" s="2" t="s">
        <v>97</v>
      </c>
      <c r="J110" s="45" t="s">
        <v>275</v>
      </c>
      <c r="K110" s="177">
        <v>3</v>
      </c>
      <c r="L110" s="152">
        <v>2</v>
      </c>
      <c r="M110" s="153">
        <v>1</v>
      </c>
      <c r="N110" s="153">
        <v>3</v>
      </c>
      <c r="O110" s="153">
        <v>2</v>
      </c>
      <c r="P110" s="153">
        <v>3</v>
      </c>
      <c r="Q110" s="154">
        <v>3</v>
      </c>
      <c r="R110" s="23">
        <v>0.1111111111111111</v>
      </c>
      <c r="S110" s="43">
        <f>(SUM($R$9:R110)/$R$4)*100</f>
        <v>99.360979481313748</v>
      </c>
      <c r="T110" s="28" t="s">
        <v>6</v>
      </c>
      <c r="U110" s="28" t="s">
        <v>6</v>
      </c>
      <c r="V110" s="28" t="s">
        <v>6</v>
      </c>
      <c r="W110" s="28" t="s">
        <v>6</v>
      </c>
      <c r="X110" s="28" t="s">
        <v>6</v>
      </c>
      <c r="Y110" s="158">
        <v>3</v>
      </c>
      <c r="Z110" s="17"/>
      <c r="AA110" s="173">
        <f t="shared" si="6"/>
        <v>8.4269662921348312E-3</v>
      </c>
      <c r="AB110" s="174">
        <f>Master_Data[[#This Row],[Imp. Level]]/SUMIF(Master_Data[Subject],Master_Data[[#This Row],[Subject]],Master_Data[Imp. Level])</f>
        <v>0.1</v>
      </c>
      <c r="AC110" s="157">
        <f>Master_Data[[#This Row],[Subjectwise weights]]*Master_Data[[#This Row],[Confidence Level]]</f>
        <v>0.30000000000000004</v>
      </c>
      <c r="AD110" s="273" t="str">
        <f>Master_Data[[#This Row],[Prac. Book]]</f>
        <v>U</v>
      </c>
      <c r="AE110" s="273" t="str">
        <f>Master_Data[[#This Row],[GARP EOC Ques.]]</f>
        <v>U</v>
      </c>
    </row>
    <row r="111" spans="2:31" ht="27.6" customHeight="1">
      <c r="B111" s="3">
        <v>103</v>
      </c>
      <c r="C111" s="182" t="str">
        <f ca="1">IF(Master_Data[[#This Row],[Column1]]=0,"",IF(Master_Data[[#This Row],[Column1]]=1,"Current Week",CONCATENATE("Week ",Master_Data[[#This Row],[Column1]])))</f>
        <v>Week 48</v>
      </c>
      <c r="D111" s="3">
        <f ca="1">ROUNDUP(Master_Data[[#This Row],[Column2]]/Working!$C$8,0)</f>
        <v>48</v>
      </c>
      <c r="E111" s="151">
        <f>SUM($F$9:F111)</f>
        <v>7.9331481481481507</v>
      </c>
      <c r="F111" s="27">
        <f>IF(Master_Data[[#This Row],[Lectures]]="D","",Master_Data[[#This Row],[Duration (hh:mm)]])</f>
        <v>5.0694444444444445E-2</v>
      </c>
      <c r="G111" s="2" t="s">
        <v>205</v>
      </c>
      <c r="H111" s="2">
        <v>103</v>
      </c>
      <c r="I111" s="2" t="s">
        <v>97</v>
      </c>
      <c r="J111" s="45" t="s">
        <v>276</v>
      </c>
      <c r="K111" s="177">
        <v>3</v>
      </c>
      <c r="L111" s="152">
        <v>2</v>
      </c>
      <c r="M111" s="153">
        <v>1</v>
      </c>
      <c r="N111" s="153">
        <v>3</v>
      </c>
      <c r="O111" s="153">
        <v>2</v>
      </c>
      <c r="P111" s="153">
        <v>3</v>
      </c>
      <c r="Q111" s="154">
        <v>3</v>
      </c>
      <c r="R111" s="23">
        <v>5.0694444444444445E-2</v>
      </c>
      <c r="S111" s="43">
        <f>(SUM($R$9:R111)/$R$4)*100</f>
        <v>100</v>
      </c>
      <c r="T111" s="28" t="s">
        <v>6</v>
      </c>
      <c r="U111" s="28" t="s">
        <v>6</v>
      </c>
      <c r="V111" s="28" t="s">
        <v>6</v>
      </c>
      <c r="W111" s="28" t="s">
        <v>6</v>
      </c>
      <c r="X111" s="28" t="s">
        <v>6</v>
      </c>
      <c r="Y111" s="158">
        <v>3</v>
      </c>
      <c r="Z111" s="17"/>
      <c r="AA111" s="173">
        <f t="shared" si="6"/>
        <v>8.4269662921348312E-3</v>
      </c>
      <c r="AB111" s="174">
        <f>Master_Data[[#This Row],[Imp. Level]]/SUMIF(Master_Data[Subject],Master_Data[[#This Row],[Subject]],Master_Data[Imp. Level])</f>
        <v>0.1</v>
      </c>
      <c r="AC111" s="157">
        <f>Master_Data[[#This Row],[Subjectwise weights]]*Master_Data[[#This Row],[Confidence Level]]</f>
        <v>0.30000000000000004</v>
      </c>
      <c r="AD111" s="273" t="str">
        <f>Master_Data[[#This Row],[Prac. Book]]</f>
        <v>U</v>
      </c>
      <c r="AE111" s="273" t="str">
        <f>Master_Data[[#This Row],[GARP EOC Ques.]]</f>
        <v>U</v>
      </c>
    </row>
  </sheetData>
  <sheetProtection algorithmName="SHA-512" hashValue="OsJqTg/b1p5DleMCVqzQk/Ireitl4pZWm3qROprF6RkHK/qs1GoWb+44RWBCuWqJvBO3f/+ewOlM8nL212UZ8w==" saltValue="Os4xlCmLO5MJwgUDVdfWuQ==" spinCount="100000" sheet="1" selectLockedCells="1"/>
  <mergeCells count="3">
    <mergeCell ref="B4:O5"/>
    <mergeCell ref="P4:Q4"/>
    <mergeCell ref="P5:Q5"/>
  </mergeCells>
  <phoneticPr fontId="31" type="noConversion"/>
  <conditionalFormatting sqref="C9:C111">
    <cfRule type="containsText" dxfId="27" priority="5" operator="containsText" text="Current Week">
      <formula>NOT(ISERROR(SEARCH("Current Week",C9)))</formula>
    </cfRule>
  </conditionalFormatting>
  <conditionalFormatting sqref="J9:J111">
    <cfRule type="expression" dxfId="26" priority="29">
      <formula>$I9="changes"</formula>
    </cfRule>
    <cfRule type="expression" dxfId="25" priority="30">
      <formula>$I9="new"</formula>
    </cfRule>
  </conditionalFormatting>
  <conditionalFormatting sqref="K9:K111">
    <cfRule type="colorScale" priority="307">
      <colorScale>
        <cfvo type="min"/>
        <cfvo type="max"/>
        <color theme="2" tint="-9.9978637043366805E-2"/>
        <color theme="2" tint="-0.749992370372631"/>
      </colorScale>
    </cfRule>
  </conditionalFormatting>
  <conditionalFormatting sqref="L9:Q111">
    <cfRule type="colorScale" priority="306">
      <colorScale>
        <cfvo type="min"/>
        <cfvo type="max"/>
        <color theme="0"/>
        <color theme="0" tint="-0.14999847407452621"/>
      </colorScale>
    </cfRule>
  </conditionalFormatting>
  <conditionalFormatting sqref="R4:R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R9:R111">
    <cfRule type="colorScale" priority="309">
      <colorScale>
        <cfvo type="min"/>
        <cfvo type="max"/>
        <color theme="0"/>
        <color theme="7" tint="0.39997558519241921"/>
      </colorScale>
    </cfRule>
  </conditionalFormatting>
  <conditionalFormatting sqref="S4:S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S9:S111">
    <cfRule type="dataBar" priority="308">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T4:T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T9:X111">
    <cfRule type="containsText" dxfId="24" priority="13" operator="containsText" text="D">
      <formula>NOT(ISERROR(SEARCH("D",T9)))</formula>
    </cfRule>
    <cfRule type="containsText" dxfId="23" priority="14" operator="containsText" text="U">
      <formula>NOT(ISERROR(SEARCH("U",T9)))</formula>
    </cfRule>
  </conditionalFormatting>
  <conditionalFormatting sqref="U4:U5">
    <cfRule type="dataBar" priority="24">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V4:V5">
    <cfRule type="dataBar" priority="21">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W4:W5">
    <cfRule type="dataBar" priority="19">
      <dataBar>
        <cfvo type="min"/>
        <cfvo type="max"/>
        <color theme="0" tint="-0.14999847407452621"/>
      </dataBar>
      <extLst>
        <ext xmlns:x14="http://schemas.microsoft.com/office/spreadsheetml/2009/9/main" uri="{B025F937-C7B1-47D3-B67F-A62EFF666E3E}">
          <x14:id>{4CDC2B86-CC25-4CF5-A99D-ACB0BBBCBF67}</x14:id>
        </ext>
      </extLst>
    </cfRule>
  </conditionalFormatting>
  <conditionalFormatting sqref="X4:X5">
    <cfRule type="dataBar" priority="18">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Y4:Y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Y9:Y111">
    <cfRule type="colorScale" priority="310">
      <colorScale>
        <cfvo type="min"/>
        <cfvo type="max"/>
        <color theme="0"/>
        <color theme="0" tint="-0.14999847407452621"/>
      </colorScale>
    </cfRule>
  </conditionalFormatting>
  <conditionalFormatting sqref="AB9:AB66">
    <cfRule type="expression" dxfId="22" priority="7">
      <formula>#REF!="C"</formula>
    </cfRule>
    <cfRule type="expression" dxfId="21" priority="8">
      <formula>#REF!="B"</formula>
    </cfRule>
    <cfRule type="expression" dxfId="20" priority="9">
      <formula>#REF!="A"</formula>
    </cfRule>
  </conditionalFormatting>
  <dataValidations count="2">
    <dataValidation type="whole" allowBlank="1" showInputMessage="1" showErrorMessage="1" errorTitle="Confidence Level" error="Please Rate your Confidence Level on the Scale of 1-5." sqref="Y9:Y111" xr:uid="{6CB7B2CB-1406-4433-95D0-2AC9E3606557}">
      <formula1>1</formula1>
      <formula2>5</formula2>
    </dataValidation>
    <dataValidation type="list" allowBlank="1" showInputMessage="1" sqref="T9:X111"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R4:R5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S4:S5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S9:S111</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4CDC2B86-CC25-4CF5-A99D-ACB0BBBCBF67}">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Y4:Y5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I87"/>
  <sheetViews>
    <sheetView showGridLines="0" topLeftCell="A10" zoomScale="90" zoomScaleNormal="90" workbookViewId="0">
      <selection activeCell="C38" sqref="C38"/>
    </sheetView>
  </sheetViews>
  <sheetFormatPr defaultColWidth="9.140625" defaultRowHeight="15.75"/>
  <cols>
    <col min="1" max="1" width="9.140625" style="29"/>
    <col min="2" max="2" width="3.42578125" style="29" customWidth="1"/>
    <col min="3" max="3" width="27.28515625" style="29" customWidth="1"/>
    <col min="4" max="4" width="12.140625" style="29" customWidth="1"/>
    <col min="5" max="5" width="9.85546875" style="29" customWidth="1"/>
    <col min="6" max="6" width="11.7109375" style="29" hidden="1" customWidth="1"/>
    <col min="7" max="7" width="10.5703125" style="29" customWidth="1"/>
    <col min="8" max="8" width="10.7109375" style="30" customWidth="1"/>
    <col min="9" max="9" width="18.85546875" style="30" customWidth="1"/>
    <col min="10" max="10" width="12.28515625" style="30" customWidth="1"/>
    <col min="11" max="11" width="10.5703125" style="29" customWidth="1"/>
    <col min="12" max="12" width="9.140625" style="31"/>
    <col min="13" max="13" width="10.28515625" style="31" customWidth="1"/>
    <col min="14" max="14" width="12" style="31" customWidth="1"/>
    <col min="15" max="15" width="4.42578125" style="31" customWidth="1"/>
    <col min="16" max="16" width="11.5703125" style="31" customWidth="1"/>
    <col min="17" max="17" width="17.140625" style="31" bestFit="1" customWidth="1"/>
    <col min="18" max="25" width="9.140625" style="31"/>
    <col min="26" max="16384" width="9.140625" style="29"/>
  </cols>
  <sheetData>
    <row r="1" spans="2:19" ht="8.4499999999999993" customHeight="1"/>
    <row r="2" spans="2:19" s="77" customFormat="1" ht="15.75" customHeight="1">
      <c r="C2" s="287" t="s">
        <v>8</v>
      </c>
      <c r="D2" s="287"/>
      <c r="E2" s="287"/>
      <c r="F2" s="287"/>
      <c r="G2" s="287"/>
      <c r="H2" s="287"/>
      <c r="I2" s="287"/>
      <c r="J2" s="287"/>
      <c r="K2" s="287"/>
    </row>
    <row r="3" spans="2:19" s="77" customFormat="1" ht="11.45" customHeight="1">
      <c r="C3" s="287"/>
      <c r="D3" s="287"/>
      <c r="E3" s="287"/>
      <c r="F3" s="287"/>
      <c r="G3" s="287"/>
      <c r="H3" s="287"/>
      <c r="I3" s="287"/>
      <c r="J3" s="287"/>
      <c r="K3" s="287"/>
    </row>
    <row r="4" spans="2:19" s="31" customFormat="1" ht="11.45" customHeight="1">
      <c r="C4" s="56"/>
      <c r="D4" s="56"/>
      <c r="E4" s="56"/>
      <c r="F4" s="56"/>
      <c r="G4" s="56"/>
      <c r="H4" s="56"/>
      <c r="I4" s="56"/>
      <c r="J4" s="56"/>
      <c r="K4" s="56"/>
    </row>
    <row r="5" spans="2:19" s="31" customFormat="1" ht="11.45" customHeight="1">
      <c r="B5" s="293" t="str">
        <f>CONCATENATE("The graph below, with respect to the practice includes ",'⏱ Input'!W8," and extra practice includes ",'⏱ Input'!X8)</f>
        <v>The graph below, with respect to the practice includes Prac. Book and extra practice includes GARP EOC Ques.</v>
      </c>
      <c r="C5" s="293"/>
      <c r="D5" s="293"/>
      <c r="E5" s="293"/>
      <c r="F5" s="293"/>
      <c r="G5" s="293"/>
      <c r="H5" s="293"/>
      <c r="I5" s="293"/>
      <c r="J5" s="293"/>
      <c r="K5" s="293"/>
      <c r="L5" s="293"/>
      <c r="M5" s="293"/>
      <c r="N5" s="57"/>
      <c r="O5" s="57"/>
      <c r="P5" s="57"/>
      <c r="Q5" s="57"/>
      <c r="R5" s="57"/>
      <c r="S5" s="57"/>
    </row>
    <row r="6" spans="2:19" s="31" customFormat="1" ht="32.450000000000003" customHeight="1">
      <c r="B6" s="293"/>
      <c r="C6" s="293"/>
      <c r="D6" s="293"/>
      <c r="E6" s="293"/>
      <c r="F6" s="293"/>
      <c r="G6" s="293"/>
      <c r="H6" s="293"/>
      <c r="I6" s="293"/>
      <c r="J6" s="293"/>
      <c r="K6" s="293"/>
      <c r="L6" s="293"/>
      <c r="M6" s="293"/>
      <c r="N6" s="57"/>
      <c r="O6" s="57"/>
      <c r="P6" s="57"/>
      <c r="Q6" s="57"/>
      <c r="R6" s="57"/>
      <c r="S6" s="57"/>
    </row>
    <row r="7" spans="2:19" s="31" customFormat="1" ht="15.75" customHeight="1">
      <c r="H7" s="30"/>
      <c r="I7" s="30"/>
      <c r="J7" s="30"/>
      <c r="K7" s="29"/>
    </row>
    <row r="8" spans="2:19" s="31" customFormat="1" ht="15.75" customHeight="1">
      <c r="H8" s="30"/>
      <c r="I8" s="30"/>
      <c r="J8" s="30"/>
      <c r="K8" s="29"/>
    </row>
    <row r="9" spans="2:19" s="31" customFormat="1" ht="15.75" customHeight="1">
      <c r="H9" s="30"/>
      <c r="I9" s="30"/>
      <c r="J9" s="30"/>
      <c r="K9" s="29"/>
    </row>
    <row r="10" spans="2:19" s="31" customFormat="1" ht="15.75" customHeight="1">
      <c r="H10" s="30"/>
      <c r="I10" s="30"/>
      <c r="J10" s="30"/>
      <c r="K10" s="29"/>
      <c r="O10" s="149" t="s">
        <v>81</v>
      </c>
      <c r="P10" s="150"/>
    </row>
    <row r="11" spans="2:19" s="31" customFormat="1" ht="15.75" customHeight="1">
      <c r="H11" s="30"/>
      <c r="I11" s="30"/>
      <c r="J11" s="30"/>
      <c r="K11" s="29"/>
      <c r="O11" s="4"/>
      <c r="P11" s="29" t="s">
        <v>12</v>
      </c>
    </row>
    <row r="12" spans="2:19" s="31" customFormat="1" ht="15.75" customHeight="1">
      <c r="H12" s="30"/>
      <c r="I12" s="30"/>
      <c r="J12" s="30"/>
      <c r="K12" s="29"/>
      <c r="O12" s="5"/>
      <c r="P12" s="29" t="s">
        <v>11</v>
      </c>
    </row>
    <row r="13" spans="2:19" s="31" customFormat="1" ht="15.75" customHeight="1">
      <c r="H13" s="30"/>
      <c r="I13" s="30"/>
      <c r="J13" s="30"/>
      <c r="K13" s="29"/>
      <c r="O13" s="150"/>
      <c r="P13" s="29"/>
    </row>
    <row r="14" spans="2:19" s="31" customFormat="1" ht="15.75" customHeight="1">
      <c r="H14" s="30"/>
      <c r="I14" s="30"/>
      <c r="J14" s="30"/>
      <c r="K14" s="29"/>
      <c r="O14" s="150" t="s">
        <v>17</v>
      </c>
      <c r="P14" s="29"/>
    </row>
    <row r="15" spans="2:19" s="31" customFormat="1" ht="15.75" customHeight="1">
      <c r="H15" s="30"/>
      <c r="I15" s="30"/>
      <c r="J15" s="30"/>
      <c r="K15" s="29"/>
      <c r="O15" s="6"/>
      <c r="P15" s="29" t="s">
        <v>12</v>
      </c>
    </row>
    <row r="16" spans="2:19" s="31" customFormat="1" ht="15.75" customHeight="1">
      <c r="H16" s="30"/>
      <c r="I16" s="30"/>
      <c r="J16" s="30"/>
      <c r="K16" s="29"/>
      <c r="O16" s="7"/>
      <c r="P16" s="29" t="s">
        <v>11</v>
      </c>
    </row>
    <row r="17" spans="3:32" s="31" customFormat="1" ht="15.75" customHeight="1">
      <c r="H17" s="30"/>
      <c r="I17" s="30"/>
      <c r="J17" s="30"/>
      <c r="K17" s="29"/>
      <c r="O17" s="29"/>
      <c r="P17" s="29"/>
    </row>
    <row r="18" spans="3:32" s="31" customFormat="1" ht="15.75" customHeight="1">
      <c r="H18" s="30"/>
      <c r="I18" s="30"/>
      <c r="J18" s="30"/>
      <c r="K18" s="29"/>
      <c r="O18" s="150" t="s">
        <v>23</v>
      </c>
      <c r="P18" s="29"/>
    </row>
    <row r="19" spans="3:32" s="31" customFormat="1" ht="15.75" customHeight="1">
      <c r="H19" s="30"/>
      <c r="I19" s="30"/>
      <c r="J19" s="30"/>
      <c r="K19" s="29"/>
      <c r="O19" s="24"/>
      <c r="P19" s="29" t="s">
        <v>12</v>
      </c>
    </row>
    <row r="20" spans="3:32" s="31" customFormat="1" ht="15.75" customHeight="1">
      <c r="H20" s="30"/>
      <c r="I20" s="30"/>
      <c r="J20" s="30"/>
      <c r="K20" s="29"/>
      <c r="O20" s="190"/>
      <c r="P20" s="29" t="s">
        <v>11</v>
      </c>
    </row>
    <row r="21" spans="3:32" s="31" customFormat="1" ht="15.75" customHeight="1">
      <c r="H21" s="30"/>
      <c r="I21" s="30"/>
      <c r="J21" s="30"/>
      <c r="K21" s="29"/>
      <c r="O21" s="29"/>
      <c r="P21" s="29"/>
    </row>
    <row r="22" spans="3:32" s="31" customFormat="1" ht="15.75" customHeight="1">
      <c r="H22" s="30"/>
      <c r="I22" s="30"/>
      <c r="J22" s="30"/>
      <c r="K22" s="29"/>
      <c r="O22" s="150" t="s">
        <v>99</v>
      </c>
      <c r="P22" s="29"/>
    </row>
    <row r="23" spans="3:32" s="31" customFormat="1" ht="15.75" customHeight="1">
      <c r="H23" s="30"/>
      <c r="I23" s="30"/>
      <c r="J23" s="30"/>
      <c r="K23" s="29"/>
      <c r="O23" s="25"/>
      <c r="P23" s="29" t="s">
        <v>12</v>
      </c>
    </row>
    <row r="24" spans="3:32" s="31" customFormat="1" ht="15.75" customHeight="1">
      <c r="H24" s="30"/>
      <c r="I24" s="30"/>
      <c r="J24" s="30"/>
      <c r="K24" s="29"/>
      <c r="O24" s="26"/>
      <c r="P24" s="29" t="s">
        <v>11</v>
      </c>
    </row>
    <row r="25" spans="3:32" s="31" customFormat="1" ht="15.75" customHeight="1">
      <c r="H25" s="30"/>
      <c r="I25" s="30"/>
      <c r="J25" s="30"/>
      <c r="K25" s="29"/>
      <c r="O25" s="29"/>
      <c r="P25" s="29"/>
    </row>
    <row r="26" spans="3:32" s="31" customFormat="1" ht="15.75" customHeight="1" thickBot="1">
      <c r="H26" s="30"/>
      <c r="I26" s="30"/>
      <c r="J26" s="30"/>
      <c r="K26" s="29"/>
      <c r="O26" s="29"/>
      <c r="P26" s="285" t="s">
        <v>98</v>
      </c>
    </row>
    <row r="27" spans="3:32" s="31" customFormat="1" ht="15.75" customHeight="1" thickTop="1">
      <c r="H27" s="30"/>
      <c r="I27" s="30"/>
      <c r="J27" s="30"/>
      <c r="K27" s="29"/>
      <c r="O27" s="184"/>
      <c r="P27" s="286"/>
    </row>
    <row r="28" spans="3:32" s="31" customFormat="1" ht="15.75" customHeight="1">
      <c r="H28" s="30"/>
      <c r="I28" s="30"/>
      <c r="J28" s="30"/>
      <c r="K28" s="29"/>
    </row>
    <row r="29" spans="3:32" s="31" customFormat="1" ht="15.75" customHeight="1">
      <c r="H29" s="30"/>
      <c r="I29" s="30"/>
      <c r="J29" s="30"/>
      <c r="K29" s="29"/>
    </row>
    <row r="30" spans="3:32" s="31" customFormat="1" ht="15.75" customHeight="1">
      <c r="H30" s="30"/>
      <c r="I30" s="30"/>
      <c r="J30" s="30"/>
      <c r="K30" s="29"/>
    </row>
    <row r="31" spans="3:32" s="31" customFormat="1" ht="23.25" customHeight="1">
      <c r="C31" s="289" t="s">
        <v>3</v>
      </c>
      <c r="D31" s="288" t="s">
        <v>81</v>
      </c>
      <c r="E31" s="288"/>
      <c r="F31" s="288"/>
      <c r="G31" s="269" t="s">
        <v>17</v>
      </c>
      <c r="H31" s="189" t="s">
        <v>23</v>
      </c>
      <c r="I31" s="270" t="s">
        <v>99</v>
      </c>
      <c r="J31" s="291" t="s">
        <v>100</v>
      </c>
      <c r="K31" s="291" t="s">
        <v>9</v>
      </c>
      <c r="T31" s="30"/>
      <c r="U31" s="30"/>
      <c r="V31" s="30"/>
      <c r="W31" s="30"/>
      <c r="X31" s="30"/>
      <c r="Y31" s="30"/>
      <c r="Z31" s="30"/>
      <c r="AA31" s="30"/>
      <c r="AB31" s="30"/>
    </row>
    <row r="32" spans="3:32" ht="46.5" customHeight="1">
      <c r="C32" s="290"/>
      <c r="D32" s="159" t="s">
        <v>34</v>
      </c>
      <c r="E32" s="159" t="s">
        <v>29</v>
      </c>
      <c r="F32" s="159" t="s">
        <v>38</v>
      </c>
      <c r="G32" s="160" t="str">
        <f>Master_Data[[#Headers],[Prac. Book]]</f>
        <v>Prac. Book</v>
      </c>
      <c r="H32" s="161" t="str">
        <f>Master_Data[[#Headers],[Revision]]</f>
        <v>Revision</v>
      </c>
      <c r="I32" s="162" t="str">
        <f>Master_Data[[#Headers],[GARP EOC Ques.]]</f>
        <v>GARP EOC Ques.</v>
      </c>
      <c r="J32" s="292"/>
      <c r="K32" s="292"/>
      <c r="L32" s="36" t="s">
        <v>18</v>
      </c>
      <c r="M32" s="36" t="s">
        <v>19</v>
      </c>
      <c r="N32" s="36" t="s">
        <v>112</v>
      </c>
      <c r="O32" s="36" t="s">
        <v>20</v>
      </c>
      <c r="P32" s="36" t="s">
        <v>104</v>
      </c>
      <c r="Q32" s="36" t="s">
        <v>105</v>
      </c>
      <c r="R32" s="36" t="s">
        <v>106</v>
      </c>
      <c r="S32" s="36"/>
      <c r="T32" s="36"/>
      <c r="U32" s="36"/>
      <c r="V32" s="36" t="s">
        <v>13</v>
      </c>
      <c r="W32" s="36" t="s">
        <v>14</v>
      </c>
      <c r="X32" s="36" t="s">
        <v>15</v>
      </c>
      <c r="Y32" s="36" t="s">
        <v>16</v>
      </c>
      <c r="Z32" s="36" t="s">
        <v>107</v>
      </c>
      <c r="AA32" s="36" t="s">
        <v>108</v>
      </c>
      <c r="AB32" s="36" t="s">
        <v>105</v>
      </c>
      <c r="AC32" s="36" t="s">
        <v>109</v>
      </c>
      <c r="AD32" s="36" t="s">
        <v>110</v>
      </c>
      <c r="AE32" s="36" t="s">
        <v>111</v>
      </c>
      <c r="AF32" s="36"/>
    </row>
    <row r="33" spans="2:35">
      <c r="B33" s="138">
        <v>2.5</v>
      </c>
      <c r="C33" s="163" t="s">
        <v>160</v>
      </c>
      <c r="D33" s="164">
        <f>SUMIFS(Master_Data[Duration (hh:mm)],Master_Data[Subject],'📊 Progress'!C33,Master_Data[Lectures],"d")</f>
        <v>0</v>
      </c>
      <c r="E33" s="165">
        <f>SUMIF(Master_Data[Subject],'📊 Progress'!C33,Master_Data[Duration (hh:mm)])</f>
        <v>1.1087962962962965</v>
      </c>
      <c r="F33" s="166">
        <f>COUNTIFS(Master_Data[Subject],C33,Master_Data[Self Study],"D",Master_Data[Lectures],"D")</f>
        <v>0</v>
      </c>
      <c r="G33" s="166">
        <f>COUNTIFS(Master_Data[Subject],'📊 Progress'!$C33,Master_Data[Prac. Book],"D")</f>
        <v>0</v>
      </c>
      <c r="H33" s="166">
        <f>COUNTIFS(Master_Data[Subject],'📊 Progress'!$C33,Master_Data[Revision],"D")</f>
        <v>0</v>
      </c>
      <c r="I33" s="166">
        <f>COUNTIFS(Master_Data[Subject],'📊 Progress'!$C33,Master_Data[GARP EOC Ques.],"D")</f>
        <v>0</v>
      </c>
      <c r="J33" s="167">
        <f>SUMIF(Master_Data[Subject],'📊 Progress'!C33,Master_Data[Subjectwise weighted average])</f>
        <v>2.3898305084745761</v>
      </c>
      <c r="K33" s="168">
        <f>COUNTIF(Master_Data[Subject],'📊 Progress'!C33)</f>
        <v>16</v>
      </c>
      <c r="L33" s="37">
        <f t="shared" ref="L33:L38" si="0">ROUND(AVERAGE(G33:G33),0)</f>
        <v>0</v>
      </c>
      <c r="M33" s="37">
        <f t="shared" ref="M33:M38" si="1">K33-L33</f>
        <v>16</v>
      </c>
      <c r="N33" s="37">
        <f t="shared" ref="N33:N38" si="2">F33</f>
        <v>0</v>
      </c>
      <c r="O33" s="37">
        <f t="shared" ref="O33:O38" si="3">K33-F33</f>
        <v>16</v>
      </c>
      <c r="P33" s="37">
        <f t="shared" ref="P33:P38" si="4">K33-H33</f>
        <v>16</v>
      </c>
      <c r="Q33" s="37">
        <f t="shared" ref="Q33:Q38" si="5">ROUND(AVERAGE(I33:I33),0)</f>
        <v>0</v>
      </c>
      <c r="R33" s="37">
        <f t="shared" ref="R33:R38" si="6">K33-Q33</f>
        <v>16</v>
      </c>
      <c r="S33" s="36"/>
      <c r="T33" s="36"/>
      <c r="U33" s="36" t="str">
        <f t="shared" ref="U33:U38" si="7">C33</f>
        <v>Market Risk</v>
      </c>
      <c r="V33" s="80">
        <f t="shared" ref="V33:V38" si="8">(F33/K33)</f>
        <v>0</v>
      </c>
      <c r="W33" s="80">
        <v>1</v>
      </c>
      <c r="X33" s="80" t="str">
        <f t="shared" ref="X33:X38" si="9">IF((L33/K33)=0,"",L33/K33)</f>
        <v/>
      </c>
      <c r="Y33" s="80">
        <v>1</v>
      </c>
      <c r="Z33" s="80">
        <f t="shared" ref="Z33:Z38" si="10">H33/K33</f>
        <v>0</v>
      </c>
      <c r="AA33" s="80">
        <v>1</v>
      </c>
      <c r="AB33" s="80" t="str">
        <f t="shared" ref="AB33:AB38" si="11">IF((Q33/K33)=0,"",Q33/K33)</f>
        <v/>
      </c>
      <c r="AC33" s="80">
        <v>1</v>
      </c>
      <c r="AD33" s="80">
        <f t="shared" ref="AD33:AD38" si="12">J33/5</f>
        <v>0.47796610169491521</v>
      </c>
      <c r="AE33" s="80">
        <v>1</v>
      </c>
      <c r="AF33" s="36"/>
    </row>
    <row r="34" spans="2:35">
      <c r="B34" s="138">
        <v>2.5</v>
      </c>
      <c r="C34" s="163" t="s">
        <v>174</v>
      </c>
      <c r="D34" s="164">
        <f>SUMIFS(Master_Data[Duration (hh:mm)],Master_Data[Subject],'📊 Progress'!C34,Master_Data[Lectures],"d")</f>
        <v>0</v>
      </c>
      <c r="E34" s="165">
        <f>SUMIF(Master_Data[Subject],'📊 Progress'!C34,Master_Data[Duration (hh:mm)])</f>
        <v>2.2693287037037031</v>
      </c>
      <c r="F34" s="166">
        <f>COUNTIFS(Master_Data[Subject],C34,Master_Data[Self Study],"D",Master_Data[Lectures],"D")</f>
        <v>0</v>
      </c>
      <c r="G34" s="166">
        <f>COUNTIFS(Master_Data[Subject],'📊 Progress'!$C34,Master_Data[Prac. Book],"D")</f>
        <v>0</v>
      </c>
      <c r="H34" s="166">
        <f>COUNTIFS(Master_Data[Subject],'📊 Progress'!$C34,Master_Data[Revision],"D")</f>
        <v>0</v>
      </c>
      <c r="I34" s="166">
        <f>COUNTIFS(Master_Data[Subject],'📊 Progress'!$C34,Master_Data[GARP EOC Ques.],"D")</f>
        <v>0</v>
      </c>
      <c r="J34" s="167">
        <f>SUMIF(Master_Data[Subject],'📊 Progress'!C34,Master_Data[Subjectwise weighted average])</f>
        <v>2.3707865168539324</v>
      </c>
      <c r="K34" s="168">
        <f>COUNTIF(Master_Data[Subject],'📊 Progress'!C34)</f>
        <v>23</v>
      </c>
      <c r="L34" s="37">
        <f t="shared" si="0"/>
        <v>0</v>
      </c>
      <c r="M34" s="37">
        <f t="shared" si="1"/>
        <v>23</v>
      </c>
      <c r="N34" s="37">
        <f t="shared" si="2"/>
        <v>0</v>
      </c>
      <c r="O34" s="37">
        <f t="shared" si="3"/>
        <v>23</v>
      </c>
      <c r="P34" s="37">
        <f t="shared" si="4"/>
        <v>23</v>
      </c>
      <c r="Q34" s="37">
        <f t="shared" si="5"/>
        <v>0</v>
      </c>
      <c r="R34" s="37">
        <f t="shared" si="6"/>
        <v>23</v>
      </c>
      <c r="S34" s="36"/>
      <c r="T34" s="36"/>
      <c r="U34" s="36" t="str">
        <f t="shared" si="7"/>
        <v>Credit Risk</v>
      </c>
      <c r="V34" s="80">
        <f t="shared" si="8"/>
        <v>0</v>
      </c>
      <c r="W34" s="80">
        <v>1</v>
      </c>
      <c r="X34" s="80" t="str">
        <f t="shared" si="9"/>
        <v/>
      </c>
      <c r="Y34" s="80">
        <v>1</v>
      </c>
      <c r="Z34" s="80">
        <f t="shared" si="10"/>
        <v>0</v>
      </c>
      <c r="AA34" s="80">
        <v>1</v>
      </c>
      <c r="AB34" s="80" t="str">
        <f t="shared" si="11"/>
        <v/>
      </c>
      <c r="AC34" s="80">
        <v>1</v>
      </c>
      <c r="AD34" s="80">
        <f t="shared" si="12"/>
        <v>0.47415730337078649</v>
      </c>
      <c r="AE34" s="80">
        <v>1</v>
      </c>
      <c r="AF34" s="36"/>
    </row>
    <row r="35" spans="2:35">
      <c r="B35" s="138">
        <v>2.5</v>
      </c>
      <c r="C35" s="163" t="s">
        <v>185</v>
      </c>
      <c r="D35" s="164">
        <f>SUMIFS(Master_Data[Duration (hh:mm)],Master_Data[Subject],'📊 Progress'!C35,Master_Data[Lectures],"d")</f>
        <v>0</v>
      </c>
      <c r="E35" s="165">
        <f>SUMIF(Master_Data[Subject],'📊 Progress'!C35,Master_Data[Duration (hh:mm)])</f>
        <v>1.467384259259259</v>
      </c>
      <c r="F35" s="166">
        <f>COUNTIFS(Master_Data[Subject],C35,Master_Data[Self Study],"D",Master_Data[Lectures],"D")</f>
        <v>0</v>
      </c>
      <c r="G35" s="166">
        <f>COUNTIFS(Master_Data[Subject],'📊 Progress'!$C35,Master_Data[Prac. Book],"D")</f>
        <v>0</v>
      </c>
      <c r="H35" s="166">
        <f>COUNTIFS(Master_Data[Subject],'📊 Progress'!$C35,Master_Data[Revision],"D")</f>
        <v>0</v>
      </c>
      <c r="I35" s="166">
        <f>COUNTIFS(Master_Data[Subject],'📊 Progress'!$C35,Master_Data[GARP EOC Ques.],"D")</f>
        <v>0</v>
      </c>
      <c r="J35" s="167">
        <f>SUMIF(Master_Data[Subject],'📊 Progress'!C35,Master_Data[Subjectwise weighted average])</f>
        <v>2.5416666666666674</v>
      </c>
      <c r="K35" s="168">
        <f>COUNTIF(Master_Data[Subject],'📊 Progress'!C35)</f>
        <v>24</v>
      </c>
      <c r="L35" s="37">
        <f t="shared" si="0"/>
        <v>0</v>
      </c>
      <c r="M35" s="37">
        <f t="shared" si="1"/>
        <v>24</v>
      </c>
      <c r="N35" s="37">
        <f t="shared" si="2"/>
        <v>0</v>
      </c>
      <c r="O35" s="37">
        <f t="shared" si="3"/>
        <v>24</v>
      </c>
      <c r="P35" s="37">
        <f t="shared" si="4"/>
        <v>24</v>
      </c>
      <c r="Q35" s="37">
        <f t="shared" si="5"/>
        <v>0</v>
      </c>
      <c r="R35" s="37">
        <f t="shared" si="6"/>
        <v>24</v>
      </c>
      <c r="S35" s="36"/>
      <c r="T35" s="36"/>
      <c r="U35" s="36" t="str">
        <f t="shared" si="7"/>
        <v>Operational Risk</v>
      </c>
      <c r="V35" s="80">
        <f t="shared" si="8"/>
        <v>0</v>
      </c>
      <c r="W35" s="80">
        <v>1</v>
      </c>
      <c r="X35" s="80" t="str">
        <f t="shared" si="9"/>
        <v/>
      </c>
      <c r="Y35" s="80">
        <v>1</v>
      </c>
      <c r="Z35" s="80">
        <f t="shared" si="10"/>
        <v>0</v>
      </c>
      <c r="AA35" s="80">
        <v>1</v>
      </c>
      <c r="AB35" s="80" t="str">
        <f t="shared" si="11"/>
        <v/>
      </c>
      <c r="AC35" s="80">
        <v>1</v>
      </c>
      <c r="AD35" s="80">
        <f t="shared" si="12"/>
        <v>0.50833333333333353</v>
      </c>
      <c r="AE35" s="80">
        <v>1</v>
      </c>
      <c r="AF35" s="36"/>
    </row>
    <row r="36" spans="2:35">
      <c r="B36" s="138">
        <v>2.5</v>
      </c>
      <c r="C36" s="163" t="s">
        <v>186</v>
      </c>
      <c r="D36" s="164">
        <f>SUMIFS(Master_Data[Duration (hh:mm)],Master_Data[Subject],'📊 Progress'!C36,Master_Data[Lectures],"d")</f>
        <v>0</v>
      </c>
      <c r="E36" s="165">
        <f>SUMIF(Master_Data[Subject],'📊 Progress'!C36,Master_Data[Duration (hh:mm)])</f>
        <v>1.3927314814814813</v>
      </c>
      <c r="F36" s="166">
        <f>COUNTIFS(Master_Data[Subject],C36,Master_Data[Self Study],"D",Master_Data[Lectures],"D")</f>
        <v>0</v>
      </c>
      <c r="G36" s="166">
        <f>COUNTIFS(Master_Data[Subject],'📊 Progress'!$C36,Master_Data[Prac. Book],"D")</f>
        <v>0</v>
      </c>
      <c r="H36" s="166">
        <f>COUNTIFS(Master_Data[Subject],'📊 Progress'!$C36,Master_Data[Revision],"D")</f>
        <v>0</v>
      </c>
      <c r="I36" s="166">
        <f>COUNTIFS(Master_Data[Subject],'📊 Progress'!$C36,Master_Data[GARP EOC Ques.],"D")</f>
        <v>0</v>
      </c>
      <c r="J36" s="167">
        <f>SUMIF(Master_Data[Subject],'📊 Progress'!C36,Master_Data[Subjectwise weighted average])</f>
        <v>2.4776119402985071</v>
      </c>
      <c r="K36" s="168">
        <f>COUNTIF(Master_Data[Subject],'📊 Progress'!C36)</f>
        <v>19</v>
      </c>
      <c r="L36" s="37">
        <f t="shared" si="0"/>
        <v>0</v>
      </c>
      <c r="M36" s="37">
        <f t="shared" si="1"/>
        <v>19</v>
      </c>
      <c r="N36" s="37">
        <f t="shared" si="2"/>
        <v>0</v>
      </c>
      <c r="O36" s="37">
        <f t="shared" si="3"/>
        <v>19</v>
      </c>
      <c r="P36" s="37">
        <f t="shared" si="4"/>
        <v>19</v>
      </c>
      <c r="Q36" s="37">
        <f t="shared" si="5"/>
        <v>0</v>
      </c>
      <c r="R36" s="37">
        <f t="shared" si="6"/>
        <v>19</v>
      </c>
      <c r="S36" s="36"/>
      <c r="T36" s="36"/>
      <c r="U36" s="36" t="str">
        <f t="shared" si="7"/>
        <v>Liquidity Risk</v>
      </c>
      <c r="V36" s="80">
        <f t="shared" si="8"/>
        <v>0</v>
      </c>
      <c r="W36" s="80">
        <v>1</v>
      </c>
      <c r="X36" s="80" t="str">
        <f t="shared" si="9"/>
        <v/>
      </c>
      <c r="Y36" s="80">
        <v>1</v>
      </c>
      <c r="Z36" s="80">
        <f t="shared" si="10"/>
        <v>0</v>
      </c>
      <c r="AA36" s="80">
        <v>1</v>
      </c>
      <c r="AB36" s="80" t="str">
        <f t="shared" si="11"/>
        <v/>
      </c>
      <c r="AC36" s="80">
        <v>1</v>
      </c>
      <c r="AD36" s="80">
        <f t="shared" si="12"/>
        <v>0.49552238805970139</v>
      </c>
      <c r="AE36" s="80">
        <v>1</v>
      </c>
      <c r="AF36" s="36"/>
    </row>
    <row r="37" spans="2:35">
      <c r="B37" s="138">
        <v>2.5</v>
      </c>
      <c r="C37" s="163" t="s">
        <v>227</v>
      </c>
      <c r="D37" s="164">
        <f>SUMIFS(Master_Data[Duration (hh:mm)],Master_Data[Subject],'📊 Progress'!C37,Master_Data[Lectures],"d")</f>
        <v>0</v>
      </c>
      <c r="E37" s="165">
        <f>SUMIF(Master_Data[Subject],'📊 Progress'!C37,Master_Data[Duration (hh:mm)])</f>
        <v>0.89880787037037013</v>
      </c>
      <c r="F37" s="166">
        <f>COUNTIFS(Master_Data[Subject],C37,Master_Data[Self Study],"D",Master_Data[Lectures],"D")</f>
        <v>0</v>
      </c>
      <c r="G37" s="166">
        <f>COUNTIFS(Master_Data[Subject],'📊 Progress'!$C37,Master_Data[Prac. Book],"D")</f>
        <v>0</v>
      </c>
      <c r="H37" s="166">
        <f>COUNTIFS(Master_Data[Subject],'📊 Progress'!$C37,Master_Data[Revision],"D")</f>
        <v>0</v>
      </c>
      <c r="I37" s="166">
        <f>COUNTIFS(Master_Data[Subject],'📊 Progress'!$C37,Master_Data[GARP EOC Ques.],"D")</f>
        <v>0</v>
      </c>
      <c r="J37" s="167">
        <f>SUMIF(Master_Data[Subject],'📊 Progress'!C37,Master_Data[Subjectwise weighted average])</f>
        <v>2.2307692307692308</v>
      </c>
      <c r="K37" s="168">
        <f>COUNTIF(Master_Data[Subject],'📊 Progress'!C37)</f>
        <v>11</v>
      </c>
      <c r="L37" s="37">
        <f t="shared" si="0"/>
        <v>0</v>
      </c>
      <c r="M37" s="37">
        <f t="shared" si="1"/>
        <v>11</v>
      </c>
      <c r="N37" s="37">
        <f t="shared" si="2"/>
        <v>0</v>
      </c>
      <c r="O37" s="37">
        <f t="shared" si="3"/>
        <v>11</v>
      </c>
      <c r="P37" s="37">
        <f t="shared" si="4"/>
        <v>11</v>
      </c>
      <c r="Q37" s="37">
        <f t="shared" si="5"/>
        <v>0</v>
      </c>
      <c r="R37" s="37">
        <f t="shared" si="6"/>
        <v>11</v>
      </c>
      <c r="S37" s="36"/>
      <c r="T37" s="36"/>
      <c r="U37" s="36" t="str">
        <f t="shared" si="7"/>
        <v>Investment Risk</v>
      </c>
      <c r="V37" s="80">
        <f t="shared" si="8"/>
        <v>0</v>
      </c>
      <c r="W37" s="80">
        <v>1</v>
      </c>
      <c r="X37" s="80" t="str">
        <f t="shared" si="9"/>
        <v/>
      </c>
      <c r="Y37" s="80">
        <v>1</v>
      </c>
      <c r="Z37" s="80">
        <f t="shared" si="10"/>
        <v>0</v>
      </c>
      <c r="AA37" s="80">
        <v>1</v>
      </c>
      <c r="AB37" s="80" t="str">
        <f t="shared" si="11"/>
        <v/>
      </c>
      <c r="AC37" s="80">
        <v>1</v>
      </c>
      <c r="AD37" s="80">
        <f t="shared" si="12"/>
        <v>0.44615384615384618</v>
      </c>
      <c r="AE37" s="80">
        <v>1</v>
      </c>
      <c r="AF37" s="36"/>
    </row>
    <row r="38" spans="2:35">
      <c r="B38" s="138">
        <v>2.5</v>
      </c>
      <c r="C38" s="163" t="s">
        <v>205</v>
      </c>
      <c r="D38" s="164">
        <f>SUMIFS(Master_Data[Duration (hh:mm)],Master_Data[Subject],'📊 Progress'!C38,Master_Data[Lectures],"d")</f>
        <v>0</v>
      </c>
      <c r="E38" s="165">
        <f>SUMIF(Master_Data[Subject],'📊 Progress'!C38,Master_Data[Duration (hh:mm)])</f>
        <v>0.79609953703703706</v>
      </c>
      <c r="F38" s="166">
        <f>COUNTIFS(Master_Data[Subject],C38,Master_Data[Self Study],"D",Master_Data[Lectures],"D")</f>
        <v>0</v>
      </c>
      <c r="G38" s="166">
        <f>COUNTIFS(Master_Data[Subject],'📊 Progress'!$C38,Master_Data[Prac. Book],"D")</f>
        <v>0</v>
      </c>
      <c r="H38" s="166">
        <f>COUNTIFS(Master_Data[Subject],'📊 Progress'!$C38,Master_Data[Revision],"D")</f>
        <v>0</v>
      </c>
      <c r="I38" s="166">
        <f>COUNTIFS(Master_Data[Subject],'📊 Progress'!$C38,Master_Data[GARP EOC Ques.],"D")</f>
        <v>0</v>
      </c>
      <c r="J38" s="167">
        <f>SUMIF(Master_Data[Subject],'📊 Progress'!C38,Master_Data[Subjectwise weighted average])</f>
        <v>2.7</v>
      </c>
      <c r="K38" s="168">
        <f>COUNTIF(Master_Data[Subject],'📊 Progress'!C38)</f>
        <v>10</v>
      </c>
      <c r="L38" s="37">
        <f t="shared" si="0"/>
        <v>0</v>
      </c>
      <c r="M38" s="37">
        <f t="shared" si="1"/>
        <v>10</v>
      </c>
      <c r="N38" s="37">
        <f t="shared" si="2"/>
        <v>0</v>
      </c>
      <c r="O38" s="37">
        <f t="shared" si="3"/>
        <v>10</v>
      </c>
      <c r="P38" s="37">
        <f t="shared" si="4"/>
        <v>10</v>
      </c>
      <c r="Q38" s="37">
        <f t="shared" si="5"/>
        <v>0</v>
      </c>
      <c r="R38" s="37">
        <f t="shared" si="6"/>
        <v>10</v>
      </c>
      <c r="S38" s="36"/>
      <c r="T38" s="36"/>
      <c r="U38" s="36" t="str">
        <f t="shared" si="7"/>
        <v>Current Issues</v>
      </c>
      <c r="V38" s="80">
        <f t="shared" si="8"/>
        <v>0</v>
      </c>
      <c r="W38" s="80">
        <v>1</v>
      </c>
      <c r="X38" s="80" t="str">
        <f t="shared" si="9"/>
        <v/>
      </c>
      <c r="Y38" s="80">
        <v>1</v>
      </c>
      <c r="Z38" s="80">
        <f t="shared" si="10"/>
        <v>0</v>
      </c>
      <c r="AA38" s="80">
        <v>1</v>
      </c>
      <c r="AB38" s="80" t="str">
        <f t="shared" si="11"/>
        <v/>
      </c>
      <c r="AC38" s="80">
        <v>1</v>
      </c>
      <c r="AD38" s="80">
        <f t="shared" si="12"/>
        <v>0.54</v>
      </c>
      <c r="AE38" s="80">
        <v>1</v>
      </c>
      <c r="AF38" s="36"/>
    </row>
    <row r="39" spans="2:35" s="32" customFormat="1" ht="18.75">
      <c r="C39" s="169" t="s">
        <v>7</v>
      </c>
      <c r="D39" s="170">
        <f t="shared" ref="D39:I39" si="13">SUM(D33:D38)</f>
        <v>0</v>
      </c>
      <c r="E39" s="170">
        <f t="shared" si="13"/>
        <v>7.9331481481481481</v>
      </c>
      <c r="F39" s="171">
        <f t="shared" si="13"/>
        <v>0</v>
      </c>
      <c r="G39" s="171">
        <f t="shared" si="13"/>
        <v>0</v>
      </c>
      <c r="H39" s="171">
        <f t="shared" si="13"/>
        <v>0</v>
      </c>
      <c r="I39" s="171">
        <f t="shared" si="13"/>
        <v>0</v>
      </c>
      <c r="J39" s="172">
        <f>'⏱ Input'!Y4</f>
        <v>5</v>
      </c>
      <c r="K39" s="171">
        <f>SUM(K33:K38)</f>
        <v>103</v>
      </c>
      <c r="L39" s="79"/>
      <c r="M39" s="34"/>
      <c r="N39" s="34"/>
      <c r="O39" s="183">
        <f>SUM(O33:O38)</f>
        <v>103</v>
      </c>
      <c r="P39" s="38"/>
      <c r="Q39" s="38"/>
      <c r="R39" s="34"/>
      <c r="S39" s="34"/>
      <c r="T39" s="35"/>
      <c r="U39" s="35"/>
      <c r="V39" s="35"/>
      <c r="W39" s="35"/>
      <c r="X39" s="35"/>
      <c r="Y39" s="35"/>
      <c r="Z39" s="35"/>
      <c r="AA39" s="35"/>
      <c r="AB39" s="35"/>
      <c r="AC39" s="35"/>
      <c r="AD39" s="34"/>
      <c r="AE39" s="34"/>
    </row>
    <row r="40" spans="2:35" ht="15" customHeight="1">
      <c r="C40" s="31"/>
      <c r="D40" s="31"/>
      <c r="E40" s="31"/>
      <c r="F40" s="31"/>
      <c r="G40" s="40"/>
      <c r="H40" s="40"/>
      <c r="I40" s="40"/>
      <c r="J40" s="40"/>
      <c r="K40" s="40"/>
      <c r="L40" s="39"/>
      <c r="M40" s="39"/>
      <c r="N40" s="39"/>
      <c r="O40" s="39"/>
      <c r="P40" s="36"/>
      <c r="Q40" s="36"/>
      <c r="R40" s="36"/>
      <c r="S40" s="36"/>
      <c r="T40" s="33"/>
      <c r="U40" s="33"/>
      <c r="V40" s="33"/>
      <c r="W40" s="33"/>
      <c r="X40" s="33"/>
      <c r="Y40" s="33"/>
      <c r="Z40" s="33"/>
      <c r="AA40" s="33"/>
      <c r="AB40" s="33"/>
      <c r="AC40" s="33"/>
      <c r="AD40" s="31"/>
      <c r="AE40" s="31"/>
      <c r="AF40" s="31"/>
      <c r="AG40" s="31"/>
      <c r="AH40" s="31"/>
      <c r="AI40" s="31"/>
    </row>
    <row r="41" spans="2:35">
      <c r="B41" s="31"/>
      <c r="C41" s="31"/>
      <c r="D41" s="31"/>
      <c r="E41" s="31"/>
      <c r="F41" s="31"/>
      <c r="G41" s="31"/>
      <c r="T41" s="30"/>
      <c r="U41" s="30"/>
      <c r="V41" s="30"/>
      <c r="W41" s="30"/>
      <c r="X41" s="30"/>
      <c r="Y41" s="30"/>
      <c r="Z41" s="30"/>
      <c r="AA41" s="30"/>
      <c r="AB41" s="30"/>
      <c r="AC41" s="31"/>
      <c r="AD41" s="31"/>
      <c r="AE41" s="31"/>
      <c r="AF41" s="31"/>
      <c r="AG41" s="31"/>
      <c r="AH41" s="31"/>
      <c r="AI41" s="31"/>
    </row>
    <row r="42" spans="2:35">
      <c r="B42" s="31"/>
      <c r="C42" s="31"/>
      <c r="D42" s="31"/>
      <c r="E42" s="31"/>
      <c r="F42" s="31"/>
      <c r="G42" s="31"/>
      <c r="T42" s="30"/>
      <c r="U42" s="30"/>
      <c r="V42" s="30"/>
      <c r="W42" s="30"/>
      <c r="X42" s="30"/>
      <c r="Y42" s="30"/>
      <c r="Z42" s="30"/>
      <c r="AA42" s="30"/>
      <c r="AB42" s="30"/>
      <c r="AC42" s="31"/>
      <c r="AD42" s="31"/>
      <c r="AE42" s="31"/>
      <c r="AF42" s="31"/>
      <c r="AG42" s="31"/>
      <c r="AH42" s="31"/>
      <c r="AI42" s="31"/>
    </row>
    <row r="43" spans="2:35">
      <c r="B43" s="31"/>
      <c r="C43" s="31"/>
      <c r="D43" s="31"/>
      <c r="E43" s="31"/>
      <c r="F43" s="31"/>
      <c r="T43" s="30"/>
      <c r="U43" s="30"/>
      <c r="V43" s="30"/>
      <c r="W43" s="30"/>
      <c r="X43" s="30"/>
      <c r="Y43" s="30"/>
      <c r="Z43" s="30"/>
      <c r="AA43" s="30"/>
      <c r="AB43" s="30"/>
      <c r="AC43" s="31"/>
      <c r="AD43" s="31"/>
      <c r="AE43" s="31"/>
      <c r="AF43" s="31"/>
      <c r="AG43" s="31"/>
      <c r="AH43" s="31"/>
      <c r="AI43" s="31"/>
    </row>
    <row r="44" spans="2:35">
      <c r="C44" s="31"/>
      <c r="D44" s="31"/>
      <c r="E44" s="31"/>
      <c r="F44" s="31"/>
      <c r="G44" s="31"/>
      <c r="H44" s="29"/>
      <c r="I44" s="29"/>
      <c r="J44" s="29"/>
      <c r="K44" s="31"/>
      <c r="T44" s="30"/>
      <c r="U44" s="30"/>
      <c r="V44" s="30"/>
      <c r="W44" s="30"/>
      <c r="X44" s="30"/>
      <c r="Y44" s="30"/>
      <c r="Z44" s="30"/>
      <c r="AA44" s="30"/>
      <c r="AB44" s="30"/>
      <c r="AC44" s="31"/>
      <c r="AD44" s="31"/>
      <c r="AE44" s="31"/>
      <c r="AF44" s="31"/>
      <c r="AG44" s="31"/>
      <c r="AH44" s="31"/>
      <c r="AI44" s="31"/>
    </row>
    <row r="45" spans="2:35">
      <c r="C45" s="31"/>
      <c r="D45" s="31"/>
      <c r="E45" s="31"/>
      <c r="F45" s="31"/>
      <c r="G45" s="31"/>
      <c r="K45" s="31"/>
      <c r="T45" s="30"/>
      <c r="U45" s="30"/>
      <c r="V45" s="30"/>
      <c r="W45" s="30"/>
      <c r="X45" s="30"/>
      <c r="Y45" s="30"/>
      <c r="Z45" s="30"/>
      <c r="AA45" s="30"/>
      <c r="AB45" s="30"/>
      <c r="AC45" s="31"/>
      <c r="AD45" s="31"/>
      <c r="AE45" s="31"/>
      <c r="AF45" s="31"/>
      <c r="AG45" s="31"/>
      <c r="AH45" s="31"/>
      <c r="AI45" s="31"/>
    </row>
    <row r="46" spans="2:35">
      <c r="C46" s="31"/>
      <c r="D46" s="31"/>
      <c r="E46" s="31"/>
      <c r="F46" s="31"/>
      <c r="G46" s="31"/>
      <c r="K46" s="31"/>
      <c r="T46" s="30"/>
      <c r="U46" s="30"/>
      <c r="V46" s="30"/>
      <c r="W46" s="30"/>
      <c r="X46" s="30"/>
      <c r="Y46" s="30"/>
      <c r="Z46" s="30"/>
      <c r="AA46" s="30"/>
      <c r="AB46" s="30"/>
      <c r="AC46" s="31"/>
      <c r="AD46" s="31"/>
      <c r="AE46" s="31"/>
      <c r="AF46" s="31"/>
      <c r="AG46" s="31"/>
      <c r="AH46" s="31"/>
      <c r="AI46" s="31"/>
    </row>
    <row r="47" spans="2:35">
      <c r="C47" s="31"/>
      <c r="D47" s="31"/>
      <c r="E47" s="31"/>
      <c r="F47" s="31"/>
      <c r="G47" s="31"/>
      <c r="K47" s="31"/>
      <c r="T47" s="30"/>
      <c r="U47" s="30"/>
      <c r="V47" s="30"/>
      <c r="W47" s="30"/>
      <c r="X47" s="30"/>
      <c r="Y47" s="30"/>
      <c r="Z47" s="30"/>
      <c r="AA47" s="30"/>
      <c r="AB47" s="30"/>
      <c r="AC47" s="31"/>
      <c r="AD47" s="31"/>
      <c r="AE47" s="31"/>
      <c r="AF47" s="31"/>
      <c r="AG47" s="31"/>
      <c r="AH47" s="31"/>
      <c r="AI47" s="31"/>
    </row>
    <row r="48" spans="2:35">
      <c r="C48" s="31"/>
      <c r="D48" s="31"/>
      <c r="E48" s="31"/>
      <c r="F48" s="31"/>
      <c r="G48" s="31"/>
      <c r="K48" s="31"/>
      <c r="T48" s="30"/>
      <c r="U48" s="30"/>
      <c r="V48" s="30"/>
      <c r="W48" s="30"/>
      <c r="X48" s="30"/>
      <c r="Y48" s="30"/>
      <c r="Z48" s="30"/>
      <c r="AA48" s="30"/>
      <c r="AB48" s="30"/>
      <c r="AC48" s="31"/>
      <c r="AD48" s="31"/>
      <c r="AE48" s="31"/>
      <c r="AF48" s="31"/>
      <c r="AG48" s="31"/>
      <c r="AH48" s="31"/>
      <c r="AI48" s="31"/>
    </row>
    <row r="49" spans="2:35">
      <c r="C49" s="31"/>
      <c r="D49" s="31"/>
      <c r="E49" s="31"/>
      <c r="F49" s="31"/>
      <c r="G49" s="31"/>
      <c r="K49" s="31"/>
      <c r="T49" s="30"/>
      <c r="U49" s="30"/>
      <c r="V49" s="30"/>
      <c r="W49" s="30"/>
      <c r="X49" s="30"/>
      <c r="Y49" s="30"/>
      <c r="Z49" s="30"/>
      <c r="AA49" s="30"/>
      <c r="AB49" s="30"/>
      <c r="AC49" s="31"/>
      <c r="AD49" s="31"/>
      <c r="AE49" s="31"/>
      <c r="AF49" s="31"/>
      <c r="AG49" s="31"/>
      <c r="AH49" s="31"/>
      <c r="AI49" s="31"/>
    </row>
    <row r="50" spans="2:35">
      <c r="C50" s="31"/>
      <c r="D50" s="31"/>
      <c r="E50" s="31"/>
      <c r="F50" s="31"/>
      <c r="G50" s="31"/>
      <c r="K50" s="31"/>
      <c r="T50" s="30"/>
      <c r="U50" s="30"/>
      <c r="V50" s="30"/>
      <c r="W50" s="30"/>
      <c r="X50" s="30"/>
      <c r="Y50" s="30"/>
      <c r="Z50" s="30"/>
      <c r="AA50" s="30"/>
      <c r="AB50" s="30"/>
      <c r="AC50" s="31"/>
      <c r="AD50" s="31"/>
      <c r="AE50" s="31"/>
      <c r="AF50" s="31"/>
      <c r="AG50" s="31"/>
      <c r="AH50" s="31"/>
      <c r="AI50" s="31"/>
    </row>
    <row r="51" spans="2:35">
      <c r="C51" s="31"/>
      <c r="D51" s="31"/>
      <c r="E51" s="31"/>
      <c r="F51" s="31"/>
      <c r="G51" s="31"/>
      <c r="K51" s="31"/>
      <c r="T51" s="30"/>
      <c r="U51" s="30"/>
      <c r="V51" s="30"/>
      <c r="W51" s="30"/>
      <c r="X51" s="30"/>
      <c r="Y51" s="30"/>
      <c r="Z51" s="30"/>
      <c r="AA51" s="30"/>
      <c r="AB51" s="30"/>
      <c r="AC51" s="31"/>
      <c r="AD51" s="31"/>
      <c r="AE51" s="31"/>
      <c r="AF51" s="31"/>
      <c r="AG51" s="31"/>
      <c r="AH51" s="31"/>
      <c r="AI51" s="31"/>
    </row>
    <row r="52" spans="2:35">
      <c r="C52" s="31"/>
      <c r="D52" s="31"/>
      <c r="E52" s="31"/>
      <c r="F52" s="31"/>
      <c r="G52" s="31"/>
      <c r="K52" s="31"/>
      <c r="T52" s="30"/>
      <c r="U52" s="30"/>
      <c r="V52" s="30"/>
      <c r="W52" s="30"/>
      <c r="X52" s="30"/>
      <c r="Y52" s="30"/>
      <c r="Z52" s="30"/>
      <c r="AA52" s="30"/>
      <c r="AB52" s="30"/>
      <c r="AC52" s="31"/>
      <c r="AD52" s="31"/>
      <c r="AE52" s="31"/>
      <c r="AF52" s="31"/>
      <c r="AG52" s="31"/>
      <c r="AH52" s="31"/>
      <c r="AI52" s="31"/>
    </row>
    <row r="53" spans="2:35">
      <c r="C53" s="31"/>
      <c r="D53" s="31"/>
      <c r="E53" s="31"/>
      <c r="F53" s="31"/>
      <c r="G53" s="31"/>
      <c r="K53" s="31"/>
      <c r="T53" s="30"/>
      <c r="U53" s="30"/>
      <c r="V53" s="30"/>
      <c r="W53" s="30"/>
      <c r="X53" s="30"/>
      <c r="Y53" s="30"/>
      <c r="Z53" s="30"/>
      <c r="AA53" s="30"/>
      <c r="AB53" s="30"/>
      <c r="AC53" s="31"/>
      <c r="AD53" s="31"/>
      <c r="AE53" s="31"/>
    </row>
    <row r="54" spans="2:35">
      <c r="C54" s="31"/>
      <c r="D54" s="31"/>
      <c r="E54" s="31"/>
      <c r="F54" s="31"/>
      <c r="G54" s="31"/>
      <c r="K54" s="31"/>
      <c r="T54" s="30"/>
      <c r="U54" s="30"/>
      <c r="V54" s="30"/>
      <c r="W54" s="30"/>
      <c r="X54" s="30"/>
      <c r="Y54" s="30"/>
      <c r="Z54" s="30"/>
      <c r="AA54" s="30"/>
      <c r="AB54" s="30"/>
      <c r="AC54" s="31"/>
      <c r="AD54" s="31"/>
      <c r="AE54" s="31"/>
    </row>
    <row r="55" spans="2:35">
      <c r="C55" s="31"/>
      <c r="D55" s="31"/>
      <c r="E55" s="31"/>
      <c r="F55" s="31"/>
      <c r="G55" s="31"/>
      <c r="K55" s="31"/>
      <c r="T55" s="30"/>
      <c r="U55" s="30"/>
      <c r="V55" s="30"/>
      <c r="W55" s="30"/>
      <c r="X55" s="30"/>
      <c r="Y55" s="30"/>
      <c r="Z55" s="30"/>
      <c r="AA55" s="30"/>
      <c r="AB55" s="30"/>
      <c r="AC55" s="31"/>
      <c r="AD55" s="31"/>
      <c r="AE55" s="31"/>
    </row>
    <row r="56" spans="2:35">
      <c r="B56" s="31"/>
      <c r="C56" s="31"/>
      <c r="D56" s="31"/>
      <c r="E56" s="31"/>
      <c r="F56" s="31"/>
      <c r="G56" s="31"/>
      <c r="H56" s="29"/>
      <c r="I56" s="29"/>
      <c r="J56" s="29"/>
      <c r="T56" s="30"/>
      <c r="U56" s="30"/>
      <c r="V56" s="30"/>
      <c r="W56" s="30"/>
      <c r="X56" s="30"/>
      <c r="Y56" s="30"/>
      <c r="Z56" s="30"/>
      <c r="AA56" s="30"/>
      <c r="AB56" s="30"/>
      <c r="AC56" s="31"/>
      <c r="AD56" s="31"/>
      <c r="AE56" s="31"/>
    </row>
    <row r="57" spans="2:35">
      <c r="B57" s="31"/>
      <c r="C57" s="31"/>
      <c r="D57" s="31"/>
      <c r="E57" s="31"/>
      <c r="F57" s="31"/>
      <c r="G57" s="31"/>
      <c r="H57" s="29"/>
      <c r="I57" s="29"/>
      <c r="J57" s="29"/>
      <c r="T57" s="30"/>
      <c r="U57" s="30"/>
      <c r="V57" s="30"/>
      <c r="W57" s="30"/>
      <c r="X57" s="30"/>
      <c r="Y57" s="30"/>
      <c r="Z57" s="30"/>
      <c r="AA57" s="30"/>
      <c r="AB57" s="30"/>
      <c r="AC57" s="31"/>
      <c r="AD57" s="31"/>
      <c r="AE57" s="31"/>
    </row>
    <row r="58" spans="2:35">
      <c r="C58" s="31"/>
      <c r="D58" s="31"/>
      <c r="E58" s="31"/>
      <c r="F58" s="31"/>
      <c r="G58" s="31"/>
      <c r="H58" s="29"/>
      <c r="I58" s="29"/>
      <c r="J58" s="29"/>
      <c r="T58" s="30"/>
      <c r="U58" s="30"/>
      <c r="V58" s="30"/>
      <c r="W58" s="30"/>
      <c r="X58" s="30"/>
      <c r="Y58" s="30"/>
      <c r="Z58" s="30"/>
      <c r="AA58" s="30"/>
      <c r="AB58" s="30"/>
      <c r="AC58" s="31"/>
      <c r="AD58" s="31"/>
      <c r="AE58" s="31"/>
    </row>
    <row r="59" spans="2:35">
      <c r="C59" s="31"/>
      <c r="D59" s="31"/>
      <c r="E59" s="31"/>
      <c r="F59" s="31"/>
      <c r="G59" s="31"/>
      <c r="K59" s="31"/>
      <c r="T59" s="30"/>
      <c r="U59" s="30"/>
      <c r="V59" s="30"/>
      <c r="W59" s="30"/>
      <c r="X59" s="30"/>
      <c r="Y59" s="30"/>
      <c r="Z59" s="30"/>
      <c r="AA59" s="30"/>
      <c r="AB59" s="30"/>
      <c r="AC59" s="31"/>
      <c r="AD59" s="31"/>
      <c r="AE59" s="31"/>
    </row>
    <row r="60" spans="2:35">
      <c r="C60" s="31"/>
      <c r="D60" s="31"/>
      <c r="E60" s="31"/>
      <c r="F60" s="31"/>
      <c r="G60" s="31"/>
      <c r="K60" s="31"/>
      <c r="Z60" s="31"/>
      <c r="AA60" s="31"/>
      <c r="AB60" s="31"/>
      <c r="AC60" s="31"/>
      <c r="AD60" s="31"/>
      <c r="AE60" s="31"/>
    </row>
    <row r="61" spans="2:35">
      <c r="C61" s="31"/>
      <c r="D61" s="31"/>
      <c r="E61" s="31"/>
      <c r="F61" s="31"/>
      <c r="G61" s="31"/>
      <c r="K61" s="31"/>
      <c r="Z61" s="31"/>
      <c r="AA61" s="31"/>
      <c r="AB61" s="31"/>
      <c r="AC61" s="31"/>
      <c r="AD61" s="31"/>
      <c r="AE61" s="31"/>
    </row>
    <row r="62" spans="2:35">
      <c r="C62" s="31"/>
      <c r="D62" s="31"/>
      <c r="E62" s="31"/>
      <c r="F62" s="31"/>
      <c r="G62" s="31"/>
      <c r="K62" s="31"/>
      <c r="Z62" s="31"/>
      <c r="AA62" s="31"/>
      <c r="AB62" s="31"/>
      <c r="AC62" s="31"/>
      <c r="AD62" s="31"/>
      <c r="AE62" s="31"/>
    </row>
    <row r="63" spans="2:35">
      <c r="C63" s="31"/>
      <c r="D63" s="31"/>
      <c r="E63" s="31"/>
      <c r="F63" s="31"/>
      <c r="G63" s="31"/>
      <c r="K63" s="31"/>
      <c r="Z63" s="31"/>
      <c r="AA63" s="31"/>
      <c r="AB63" s="31"/>
      <c r="AC63" s="31"/>
      <c r="AD63" s="31"/>
      <c r="AE63" s="31"/>
    </row>
    <row r="64" spans="2:35">
      <c r="C64" s="31"/>
      <c r="D64" s="31"/>
      <c r="E64" s="31"/>
      <c r="F64" s="31"/>
      <c r="G64" s="31"/>
      <c r="K64" s="31"/>
      <c r="Z64" s="31"/>
      <c r="AA64" s="31"/>
      <c r="AB64" s="31"/>
      <c r="AC64" s="31"/>
      <c r="AD64" s="31"/>
      <c r="AE64" s="31"/>
    </row>
    <row r="65" spans="3:31">
      <c r="C65" s="31"/>
      <c r="D65" s="31"/>
      <c r="E65" s="31"/>
      <c r="F65" s="31"/>
      <c r="G65" s="31"/>
      <c r="K65" s="31"/>
      <c r="Z65" s="31"/>
      <c r="AA65" s="31"/>
      <c r="AB65" s="31"/>
      <c r="AC65" s="31"/>
      <c r="AD65" s="31"/>
      <c r="AE65" s="31"/>
    </row>
    <row r="66" spans="3:31">
      <c r="C66" s="31"/>
      <c r="D66" s="31"/>
      <c r="E66" s="31"/>
      <c r="F66" s="31"/>
      <c r="G66" s="31"/>
      <c r="K66" s="31"/>
      <c r="Z66" s="31"/>
      <c r="AA66" s="31"/>
      <c r="AB66" s="31"/>
      <c r="AC66" s="31"/>
      <c r="AD66" s="31"/>
      <c r="AE66" s="31"/>
    </row>
    <row r="67" spans="3:31">
      <c r="C67" s="31"/>
      <c r="D67" s="31"/>
      <c r="E67" s="31"/>
      <c r="F67" s="31"/>
      <c r="G67" s="31"/>
      <c r="K67" s="31"/>
      <c r="Z67" s="31"/>
      <c r="AA67" s="31"/>
      <c r="AB67" s="31"/>
      <c r="AC67" s="31"/>
      <c r="AD67" s="31"/>
      <c r="AE67" s="31"/>
    </row>
    <row r="68" spans="3:31">
      <c r="C68" s="31"/>
      <c r="D68" s="31"/>
      <c r="E68" s="31"/>
      <c r="F68" s="31"/>
      <c r="G68" s="31"/>
      <c r="K68" s="31"/>
      <c r="Z68" s="31"/>
      <c r="AA68" s="31"/>
      <c r="AB68" s="31"/>
      <c r="AC68" s="31"/>
      <c r="AD68" s="31"/>
      <c r="AE68" s="31"/>
    </row>
    <row r="69" spans="3:31">
      <c r="C69" s="31"/>
      <c r="D69" s="31"/>
      <c r="E69" s="31"/>
      <c r="F69" s="31"/>
      <c r="G69" s="31"/>
      <c r="K69" s="31"/>
      <c r="Z69" s="31"/>
      <c r="AA69" s="31"/>
      <c r="AB69" s="31"/>
      <c r="AC69" s="31"/>
      <c r="AD69" s="31"/>
      <c r="AE69" s="31"/>
    </row>
    <row r="70" spans="3:31">
      <c r="C70" s="31"/>
      <c r="D70" s="31"/>
      <c r="E70" s="31"/>
      <c r="F70" s="31"/>
      <c r="G70" s="31"/>
      <c r="K70" s="31"/>
      <c r="Z70" s="31"/>
      <c r="AA70" s="31"/>
      <c r="AB70" s="31"/>
      <c r="AC70" s="31"/>
      <c r="AD70" s="31"/>
      <c r="AE70" s="31"/>
    </row>
    <row r="71" spans="3:31">
      <c r="C71" s="31"/>
      <c r="D71" s="31"/>
      <c r="E71" s="31"/>
      <c r="F71" s="31"/>
      <c r="G71" s="31"/>
      <c r="K71" s="31"/>
      <c r="Z71" s="31"/>
      <c r="AA71" s="31"/>
      <c r="AB71" s="31"/>
      <c r="AC71" s="31"/>
      <c r="AD71" s="31"/>
      <c r="AE71" s="31"/>
    </row>
    <row r="72" spans="3:31">
      <c r="C72" s="31"/>
      <c r="D72" s="31"/>
      <c r="E72" s="31"/>
      <c r="F72" s="31"/>
      <c r="K72" s="31"/>
      <c r="Z72" s="31"/>
      <c r="AA72" s="31"/>
      <c r="AB72" s="31"/>
      <c r="AC72" s="31"/>
      <c r="AD72" s="31"/>
      <c r="AE72" s="31"/>
    </row>
    <row r="73" spans="3:31">
      <c r="C73" s="31"/>
      <c r="D73" s="31"/>
      <c r="E73" s="31"/>
      <c r="F73" s="31"/>
      <c r="K73" s="31"/>
      <c r="Z73" s="31"/>
      <c r="AA73" s="31"/>
      <c r="AB73" s="31"/>
      <c r="AC73" s="31"/>
      <c r="AD73" s="31"/>
      <c r="AE73" s="31"/>
    </row>
    <row r="74" spans="3:31">
      <c r="C74" s="31"/>
      <c r="D74" s="31"/>
      <c r="E74" s="31"/>
      <c r="F74" s="31"/>
      <c r="K74" s="31"/>
      <c r="Z74" s="31"/>
      <c r="AA74" s="31"/>
      <c r="AB74" s="31"/>
      <c r="AC74" s="31"/>
      <c r="AD74" s="31"/>
      <c r="AE74" s="31"/>
    </row>
    <row r="75" spans="3:31">
      <c r="C75" s="31"/>
      <c r="D75" s="31"/>
      <c r="E75" s="31"/>
      <c r="F75" s="31"/>
      <c r="Z75" s="31"/>
      <c r="AA75" s="31"/>
      <c r="AB75" s="31"/>
      <c r="AC75" s="31"/>
      <c r="AD75" s="31"/>
      <c r="AE75" s="31"/>
    </row>
    <row r="76" spans="3:31">
      <c r="C76" s="31"/>
      <c r="D76" s="31"/>
      <c r="E76" s="31"/>
      <c r="F76" s="31"/>
      <c r="Z76" s="31"/>
      <c r="AA76" s="31"/>
      <c r="AB76" s="31"/>
      <c r="AC76" s="31"/>
      <c r="AD76" s="31"/>
      <c r="AE76" s="31"/>
    </row>
    <row r="77" spans="3:31">
      <c r="C77" s="31"/>
      <c r="D77" s="31"/>
      <c r="E77" s="31"/>
      <c r="F77" s="31"/>
      <c r="Z77" s="31"/>
      <c r="AA77" s="31"/>
      <c r="AB77" s="31"/>
      <c r="AC77" s="31"/>
      <c r="AD77" s="31"/>
      <c r="AE77" s="31"/>
    </row>
    <row r="78" spans="3:31">
      <c r="C78" s="31"/>
      <c r="D78" s="31"/>
      <c r="E78" s="31"/>
      <c r="F78" s="31"/>
      <c r="Z78" s="31"/>
      <c r="AA78" s="31"/>
      <c r="AB78" s="31"/>
      <c r="AC78" s="31"/>
      <c r="AD78" s="31"/>
      <c r="AE78" s="31"/>
    </row>
    <row r="79" spans="3:31">
      <c r="C79" s="31"/>
      <c r="D79" s="31"/>
      <c r="E79" s="31"/>
      <c r="F79" s="31"/>
    </row>
    <row r="80" spans="3:31">
      <c r="C80" s="31"/>
      <c r="D80" s="31"/>
      <c r="E80" s="31"/>
      <c r="F80" s="31"/>
    </row>
    <row r="81" spans="3:6">
      <c r="C81" s="31"/>
      <c r="D81" s="31"/>
      <c r="E81" s="31"/>
      <c r="F81" s="31"/>
    </row>
    <row r="82" spans="3:6">
      <c r="C82" s="31"/>
      <c r="D82" s="31"/>
      <c r="E82" s="31"/>
      <c r="F82" s="31"/>
    </row>
    <row r="83" spans="3:6">
      <c r="C83" s="31"/>
      <c r="D83" s="31"/>
      <c r="E83" s="31"/>
      <c r="F83" s="31"/>
    </row>
    <row r="84" spans="3:6">
      <c r="C84" s="31"/>
      <c r="D84" s="31"/>
      <c r="E84" s="31"/>
      <c r="F84" s="31"/>
    </row>
    <row r="85" spans="3:6">
      <c r="C85" s="31"/>
      <c r="D85" s="31"/>
      <c r="E85" s="31"/>
      <c r="F85" s="31"/>
    </row>
    <row r="86" spans="3:6">
      <c r="C86" s="31"/>
      <c r="D86" s="31"/>
      <c r="E86" s="31"/>
      <c r="F86" s="31"/>
    </row>
    <row r="87" spans="3:6">
      <c r="C87" s="31"/>
      <c r="D87" s="31"/>
      <c r="E87" s="31"/>
      <c r="F87" s="31"/>
    </row>
  </sheetData>
  <sheetProtection algorithmName="SHA-512" hashValue="Q2aDYZEaCSVuKg7w1V0vfNpH+U15WBjw0K1TlRRmM9k1630sq8WG1v2S4JpVCA8KlzShEStWTMI2P0NtkQCAWw==" saltValue="SmiWptNweV2MfBPKdliYMg==" spinCount="100000" sheet="1" selectLockedCells="1" selectUnlockedCells="1"/>
  <mergeCells count="7">
    <mergeCell ref="P26:P27"/>
    <mergeCell ref="C2:K3"/>
    <mergeCell ref="D31:F31"/>
    <mergeCell ref="C31:C32"/>
    <mergeCell ref="K31:K32"/>
    <mergeCell ref="J31:J32"/>
    <mergeCell ref="B5:M6"/>
  </mergeCells>
  <conditionalFormatting sqref="D33:E33">
    <cfRule type="dataBar" priority="11">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5:E35">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6:E36">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D38:E38">
    <cfRule type="dataBar" priority="6">
      <dataBar>
        <cfvo type="min"/>
        <cfvo type="max"/>
        <color theme="2"/>
      </dataBar>
      <extLst>
        <ext xmlns:x14="http://schemas.microsoft.com/office/spreadsheetml/2009/9/main" uri="{B025F937-C7B1-47D3-B67F-A62EFF666E3E}">
          <x14:id>{30FABE33-45FA-400C-ACE6-932C6E3F9C2B}</x14:id>
        </ext>
      </extLst>
    </cfRule>
  </conditionalFormatting>
  <conditionalFormatting sqref="F34 K34 H34:I34">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5 K35 H35:I35">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F36 K36 H36:I36">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F37 K37 H37:I37">
    <cfRule type="dataBar" priority="65">
      <dataBar>
        <cfvo type="min"/>
        <cfvo type="max"/>
        <color theme="2"/>
      </dataBar>
      <extLst>
        <ext xmlns:x14="http://schemas.microsoft.com/office/spreadsheetml/2009/9/main" uri="{B025F937-C7B1-47D3-B67F-A62EFF666E3E}">
          <x14:id>{47D12EEF-1E7C-443B-98EE-26AEB387CDA1}</x14:id>
        </ext>
      </extLst>
    </cfRule>
  </conditionalFormatting>
  <conditionalFormatting sqref="F38 K38 H38:I38">
    <cfRule type="dataBar" priority="66">
      <dataBar>
        <cfvo type="min"/>
        <cfvo type="max"/>
        <color theme="2"/>
      </dataBar>
      <extLst>
        <ext xmlns:x14="http://schemas.microsoft.com/office/spreadsheetml/2009/9/main" uri="{B025F937-C7B1-47D3-B67F-A62EFF666E3E}">
          <x14:id>{9BC54A58-BBA8-4FC3-B5A3-D76F5738DB8F}</x14:id>
        </ext>
      </extLst>
    </cfRule>
  </conditionalFormatting>
  <conditionalFormatting sqref="F33:I33 K33 G34:G38">
    <cfRule type="dataBar" priority="311">
      <dataBar>
        <cfvo type="min"/>
        <cfvo type="max"/>
        <color theme="2"/>
      </dataBar>
      <extLst>
        <ext xmlns:x14="http://schemas.microsoft.com/office/spreadsheetml/2009/9/main" uri="{B025F937-C7B1-47D3-B67F-A62EFF666E3E}">
          <x14:id>{4BE4F2C4-9230-4C51-9E97-D225E9A5D985}</x14:id>
        </ext>
      </extLst>
    </cfRule>
  </conditionalFormatting>
  <conditionalFormatting sqref="J33:J39">
    <cfRule type="dataBar" priority="314">
      <dataBar>
        <cfvo type="min"/>
        <cfvo type="max"/>
        <color theme="2"/>
      </dataBar>
      <extLst>
        <ext xmlns:x14="http://schemas.microsoft.com/office/spreadsheetml/2009/9/main" uri="{B025F937-C7B1-47D3-B67F-A62EFF666E3E}">
          <x14:id>{03DE95BE-3C15-45C9-A3A3-FEF229BCD047}</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F34 K34 H34:I34</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F35 K35 H35:I35</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F36 K36 H36:I36</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F37 K37 H37:I37</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F38 K38 H38:I38</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F33:I33 K33 G34:G38</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J33:J39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zoomScale="115" zoomScaleNormal="115" workbookViewId="0">
      <selection activeCell="P53" sqref="P53"/>
    </sheetView>
  </sheetViews>
  <sheetFormatPr defaultColWidth="8.7109375" defaultRowHeight="14.25"/>
  <cols>
    <col min="1" max="1" width="0.85546875" style="192" customWidth="1"/>
    <col min="2" max="2" width="3.7109375" style="192" customWidth="1"/>
    <col min="3" max="3" width="3.7109375" style="191" customWidth="1"/>
    <col min="4" max="4" width="3.42578125" style="192" customWidth="1"/>
    <col min="5" max="5" width="12" style="192" customWidth="1"/>
    <col min="6" max="6" width="5.85546875" style="192" customWidth="1"/>
    <col min="7" max="7" width="10.42578125" style="192" customWidth="1"/>
    <col min="8" max="8" width="1.42578125" style="192" customWidth="1"/>
    <col min="9" max="9" width="10.42578125" style="192" customWidth="1"/>
    <col min="10" max="10" width="5.85546875" style="192" customWidth="1"/>
    <col min="11" max="11" width="10.42578125" style="192" customWidth="1"/>
    <col min="12" max="12" width="1.42578125" style="192" customWidth="1"/>
    <col min="13" max="13" width="10.42578125" style="192" customWidth="1"/>
    <col min="14" max="14" width="5.85546875" style="192" customWidth="1"/>
    <col min="15" max="15" width="10.42578125" style="192" customWidth="1"/>
    <col min="16" max="16" width="1.42578125" style="192" customWidth="1"/>
    <col min="17" max="17" width="10.42578125" style="192" customWidth="1"/>
    <col min="18" max="18" width="5.85546875" style="192" customWidth="1"/>
    <col min="19" max="19" width="10.42578125" style="192" customWidth="1"/>
    <col min="20" max="20" width="1.42578125" style="192" customWidth="1"/>
    <col min="21" max="21" width="10.42578125" style="192" customWidth="1"/>
    <col min="22" max="22" width="5.85546875" style="192" customWidth="1"/>
    <col min="23" max="24" width="9.42578125" style="192" customWidth="1"/>
    <col min="25" max="25" width="9.5703125" style="192" customWidth="1"/>
    <col min="26" max="26" width="9.28515625" style="192" customWidth="1"/>
    <col min="27" max="27" width="7.28515625" style="192" customWidth="1"/>
    <col min="28" max="31" width="9.42578125" style="192" customWidth="1"/>
    <col min="32" max="16384" width="8.7109375" style="192"/>
  </cols>
  <sheetData>
    <row r="1" spans="3:27" ht="7.5" customHeight="1"/>
    <row r="2" spans="3:27" ht="7.5" customHeight="1"/>
    <row r="5" spans="3:27" ht="11.25" customHeight="1"/>
    <row r="6" spans="3:27" ht="20.25">
      <c r="M6" s="308" t="s">
        <v>98</v>
      </c>
      <c r="N6" s="308"/>
      <c r="O6" s="308"/>
      <c r="P6" s="308"/>
    </row>
    <row r="7" spans="3:27" ht="18" customHeight="1">
      <c r="D7" s="193" t="s">
        <v>155</v>
      </c>
      <c r="E7" s="194"/>
      <c r="F7" s="194"/>
      <c r="G7" s="194"/>
      <c r="H7" s="194"/>
      <c r="I7" s="194"/>
      <c r="K7" s="195"/>
      <c r="L7" s="195"/>
      <c r="M7" s="307"/>
      <c r="N7" s="307"/>
      <c r="O7" s="307"/>
      <c r="P7" s="307"/>
      <c r="Q7" s="195"/>
      <c r="R7" s="195"/>
      <c r="S7" s="297" t="str">
        <f ca="1">Message</f>
        <v>Your Name, you have 
335 days to complete 103 chapters &amp; 190 hrs of lectures.
For this you must study for 1:17 hrs and 4:08 hrs respectively on weekdays &amp; weekends.</v>
      </c>
      <c r="T7" s="297"/>
      <c r="U7" s="297"/>
      <c r="V7" s="297"/>
    </row>
    <row r="8" spans="3:27" ht="18.600000000000001" customHeight="1">
      <c r="D8" s="196" t="s">
        <v>120</v>
      </c>
      <c r="E8" s="194"/>
      <c r="F8" s="194"/>
      <c r="G8" s="194"/>
      <c r="H8" s="194"/>
      <c r="I8" s="50">
        <v>2.5</v>
      </c>
      <c r="K8" s="195"/>
      <c r="L8" s="195"/>
      <c r="M8" s="195"/>
      <c r="N8" s="195"/>
      <c r="O8" s="195"/>
      <c r="P8" s="195"/>
      <c r="Q8" s="195"/>
      <c r="R8" s="195"/>
      <c r="S8" s="297"/>
      <c r="T8" s="297"/>
      <c r="U8" s="297"/>
      <c r="V8" s="297"/>
    </row>
    <row r="9" spans="3:27" ht="18.600000000000001" customHeight="1">
      <c r="D9" s="196" t="s">
        <v>121</v>
      </c>
      <c r="E9" s="194"/>
      <c r="F9" s="194"/>
      <c r="G9" s="194"/>
      <c r="H9" s="194"/>
      <c r="I9" s="50">
        <v>8</v>
      </c>
      <c r="K9" s="195"/>
      <c r="L9" s="195"/>
      <c r="M9" s="195"/>
      <c r="N9" s="195"/>
      <c r="O9" s="195"/>
      <c r="P9" s="195"/>
      <c r="Q9" s="195"/>
      <c r="R9" s="195"/>
      <c r="S9" s="297"/>
      <c r="T9" s="297"/>
      <c r="U9" s="297"/>
      <c r="V9" s="297"/>
    </row>
    <row r="10" spans="3:27" ht="18.600000000000001" customHeight="1">
      <c r="D10" s="196" t="s">
        <v>122</v>
      </c>
      <c r="E10" s="194"/>
      <c r="F10" s="194"/>
      <c r="G10" s="194"/>
      <c r="H10" s="194"/>
      <c r="I10" s="50">
        <v>5</v>
      </c>
      <c r="K10" s="195"/>
      <c r="L10" s="195"/>
      <c r="M10" s="195"/>
      <c r="O10" s="195"/>
      <c r="P10" s="195"/>
      <c r="Q10" s="195"/>
      <c r="R10" s="197"/>
      <c r="S10" s="297"/>
      <c r="T10" s="297"/>
      <c r="U10" s="297"/>
      <c r="V10" s="297"/>
    </row>
    <row r="11" spans="3:27" ht="18.600000000000001" customHeight="1">
      <c r="D11" s="196" t="s">
        <v>123</v>
      </c>
      <c r="E11" s="194"/>
      <c r="F11" s="194"/>
      <c r="G11" s="194"/>
      <c r="H11" s="194"/>
      <c r="I11" s="51">
        <v>21</v>
      </c>
      <c r="K11" s="195"/>
      <c r="L11" s="195"/>
      <c r="M11" s="195"/>
      <c r="O11" s="195"/>
      <c r="P11" s="195"/>
      <c r="Q11" s="195"/>
      <c r="R11" s="198"/>
      <c r="S11" s="297"/>
      <c r="T11" s="297"/>
      <c r="U11" s="297"/>
      <c r="V11" s="297"/>
    </row>
    <row r="12" spans="3:27" ht="18.600000000000001" customHeight="1">
      <c r="D12" s="196" t="s">
        <v>144</v>
      </c>
      <c r="E12" s="194"/>
      <c r="F12" s="194"/>
      <c r="G12" s="194"/>
      <c r="H12" s="194"/>
      <c r="I12" s="51">
        <v>5</v>
      </c>
      <c r="K12" s="195"/>
      <c r="L12" s="195"/>
      <c r="M12" s="195"/>
      <c r="O12" s="195"/>
      <c r="P12" s="195"/>
      <c r="Q12" s="195"/>
      <c r="S12" s="297"/>
      <c r="T12" s="297"/>
      <c r="U12" s="297"/>
      <c r="V12" s="297"/>
    </row>
    <row r="14" spans="3:27" s="199" customFormat="1" ht="18.75" customHeight="1">
      <c r="C14" s="191"/>
      <c r="G14" s="312"/>
      <c r="H14" s="312"/>
      <c r="I14" s="312"/>
      <c r="J14" s="200"/>
      <c r="K14" s="200"/>
      <c r="L14" s="200"/>
      <c r="M14" s="201"/>
      <c r="N14" s="202"/>
      <c r="O14" s="203"/>
      <c r="P14" s="204"/>
      <c r="Q14" s="205"/>
      <c r="R14" s="206"/>
    </row>
    <row r="15" spans="3:27" s="199" customFormat="1" ht="15" customHeight="1">
      <c r="C15" s="191"/>
      <c r="J15" s="207"/>
      <c r="K15" s="306"/>
      <c r="L15" s="306"/>
      <c r="M15" s="201"/>
      <c r="N15" s="202"/>
      <c r="O15" s="203"/>
      <c r="P15" s="204"/>
      <c r="Q15" s="205"/>
      <c r="R15" s="206"/>
      <c r="X15" s="208"/>
      <c r="Y15" s="208"/>
      <c r="Z15" s="208"/>
      <c r="AA15" s="192"/>
    </row>
    <row r="16" spans="3:27" s="199" customFormat="1" ht="15" customHeight="1">
      <c r="C16" s="209" t="s">
        <v>124</v>
      </c>
      <c r="D16" s="209"/>
      <c r="F16" s="209"/>
      <c r="J16" s="207"/>
      <c r="K16" s="200"/>
      <c r="L16" s="200"/>
      <c r="M16" s="201"/>
      <c r="N16" s="202"/>
      <c r="O16" s="203"/>
      <c r="P16" s="204"/>
      <c r="Q16" s="205"/>
      <c r="R16" s="206"/>
      <c r="X16" s="210"/>
      <c r="Y16" s="210"/>
      <c r="Z16" s="210"/>
    </row>
    <row r="17" spans="2:30" s="199" customFormat="1" ht="15" customHeight="1">
      <c r="C17" s="211"/>
      <c r="D17" s="212" t="s">
        <v>37</v>
      </c>
      <c r="F17" s="212"/>
      <c r="K17" s="200"/>
      <c r="L17" s="200"/>
      <c r="M17" s="201"/>
      <c r="N17" s="202"/>
      <c r="O17" s="203"/>
      <c r="P17" s="204"/>
      <c r="Q17" s="205"/>
      <c r="R17" s="206"/>
      <c r="X17" s="210"/>
      <c r="Y17" s="210"/>
      <c r="Z17" s="210"/>
    </row>
    <row r="18" spans="2:30" s="199" customFormat="1" ht="15" customHeight="1">
      <c r="C18" s="213"/>
      <c r="D18" s="212" t="s">
        <v>133</v>
      </c>
      <c r="F18" s="212"/>
      <c r="J18" s="200"/>
      <c r="K18" s="200"/>
      <c r="L18" s="200"/>
      <c r="M18" s="201"/>
      <c r="N18" s="202"/>
      <c r="O18" s="203"/>
      <c r="P18" s="204"/>
      <c r="Q18" s="205"/>
      <c r="R18" s="206"/>
      <c r="X18" s="210"/>
      <c r="Y18" s="210"/>
      <c r="Z18" s="210"/>
      <c r="AB18" s="309"/>
      <c r="AC18" s="309"/>
      <c r="AD18" s="207"/>
    </row>
    <row r="19" spans="2:30" s="199" customFormat="1" ht="15" customHeight="1">
      <c r="J19" s="200"/>
      <c r="K19" s="200"/>
      <c r="L19" s="200"/>
      <c r="M19" s="201"/>
      <c r="N19" s="202"/>
      <c r="O19" s="203"/>
      <c r="P19" s="204"/>
      <c r="Q19" s="205"/>
      <c r="R19" s="206"/>
      <c r="X19" s="210"/>
      <c r="Y19" s="210"/>
      <c r="Z19" s="210"/>
      <c r="AB19" s="192"/>
      <c r="AC19" s="212"/>
      <c r="AD19" s="207"/>
    </row>
    <row r="20" spans="2:30" s="199" customFormat="1" ht="15" customHeight="1">
      <c r="C20" s="215" t="s">
        <v>125</v>
      </c>
      <c r="D20" s="214"/>
      <c r="F20" s="214"/>
      <c r="J20" s="200"/>
      <c r="K20" s="200"/>
      <c r="L20" s="200"/>
      <c r="M20" s="201"/>
      <c r="N20" s="202"/>
      <c r="O20" s="203"/>
      <c r="P20" s="204"/>
      <c r="Q20" s="205"/>
      <c r="R20" s="206"/>
      <c r="X20" s="210"/>
      <c r="Y20" s="210"/>
      <c r="Z20" s="210"/>
      <c r="AB20" s="212"/>
    </row>
    <row r="21" spans="2:30" s="199" customFormat="1" ht="16.5">
      <c r="C21" s="216"/>
      <c r="D21" s="212" t="s">
        <v>36</v>
      </c>
      <c r="F21" s="212"/>
      <c r="G21" s="217"/>
      <c r="H21" s="217"/>
      <c r="I21" s="217"/>
      <c r="J21" s="200"/>
      <c r="K21" s="200"/>
      <c r="L21" s="200"/>
      <c r="M21" s="201"/>
      <c r="N21" s="218"/>
      <c r="O21" s="219"/>
      <c r="P21" s="219"/>
      <c r="Q21" s="219"/>
      <c r="R21" s="219"/>
      <c r="S21" s="220"/>
      <c r="T21" s="220"/>
      <c r="U21" s="220"/>
      <c r="V21" s="192"/>
      <c r="Y21" s="192"/>
      <c r="Z21" s="212"/>
      <c r="AA21" s="192"/>
      <c r="AB21" s="212"/>
    </row>
    <row r="22" spans="2:30" s="199" customFormat="1" ht="15" customHeight="1">
      <c r="C22" s="221"/>
      <c r="D22" s="212" t="s">
        <v>134</v>
      </c>
      <c r="F22" s="212"/>
      <c r="G22" s="217"/>
      <c r="H22" s="217"/>
      <c r="I22" s="217"/>
      <c r="J22" s="220"/>
      <c r="K22" s="220"/>
      <c r="L22" s="220"/>
      <c r="M22" s="201"/>
      <c r="N22" s="222"/>
      <c r="O22" s="223"/>
      <c r="P22" s="223"/>
      <c r="Q22" s="205"/>
      <c r="R22" s="223"/>
      <c r="S22" s="220"/>
      <c r="T22" s="220"/>
      <c r="U22" s="220"/>
      <c r="V22" s="192"/>
      <c r="AB22" s="192"/>
      <c r="AC22" s="192"/>
    </row>
    <row r="23" spans="2:30" s="199" customFormat="1" ht="15" customHeight="1">
      <c r="C23" s="191"/>
      <c r="D23" s="192"/>
      <c r="E23" s="192"/>
      <c r="F23" s="192"/>
      <c r="G23" s="220"/>
      <c r="H23" s="220"/>
      <c r="I23" s="220"/>
      <c r="J23" s="200"/>
      <c r="K23" s="200"/>
      <c r="L23" s="200"/>
      <c r="M23" s="201"/>
      <c r="N23" s="224"/>
      <c r="O23" s="204"/>
      <c r="P23" s="204"/>
      <c r="Q23" s="205"/>
      <c r="R23" s="204"/>
      <c r="S23" s="220"/>
      <c r="T23" s="220"/>
      <c r="U23" s="220"/>
      <c r="V23" s="192"/>
      <c r="AB23" s="192"/>
      <c r="AC23" s="192"/>
    </row>
    <row r="24" spans="2:30" s="199" customFormat="1" ht="15" customHeight="1">
      <c r="C24" s="191"/>
      <c r="D24" s="192"/>
      <c r="E24" s="192"/>
      <c r="F24" s="192"/>
      <c r="G24" s="220"/>
      <c r="H24" s="220"/>
      <c r="I24" s="220"/>
      <c r="J24" s="200"/>
      <c r="K24" s="200"/>
      <c r="L24" s="200"/>
      <c r="M24" s="201"/>
      <c r="N24" s="224"/>
      <c r="O24" s="204"/>
      <c r="P24" s="204"/>
      <c r="Q24" s="205"/>
      <c r="R24" s="204"/>
      <c r="S24" s="220"/>
      <c r="T24" s="220"/>
      <c r="U24" s="220"/>
      <c r="V24" s="192"/>
      <c r="AB24" s="192"/>
      <c r="AC24" s="192"/>
    </row>
    <row r="25" spans="2:30" s="199" customFormat="1" ht="15" customHeight="1">
      <c r="C25" s="191"/>
      <c r="D25" s="192"/>
      <c r="E25" s="192"/>
      <c r="F25" s="192"/>
      <c r="G25" s="220"/>
      <c r="H25" s="220"/>
      <c r="I25" s="220"/>
      <c r="J25" s="200"/>
      <c r="K25" s="200"/>
      <c r="L25" s="200"/>
      <c r="M25" s="201"/>
      <c r="N25" s="224"/>
      <c r="O25" s="204"/>
      <c r="P25" s="204"/>
      <c r="Q25" s="205"/>
      <c r="R25" s="204"/>
      <c r="S25" s="220"/>
      <c r="T25" s="220"/>
      <c r="U25" s="220"/>
      <c r="V25" s="192"/>
      <c r="AB25" s="192"/>
      <c r="AC25" s="192"/>
    </row>
    <row r="26" spans="2:30" s="42" customFormat="1" ht="15" customHeight="1" thickBot="1">
      <c r="C26" s="230"/>
      <c r="D26" s="41"/>
      <c r="E26" s="41"/>
      <c r="F26" s="41"/>
      <c r="G26" s="318" t="s">
        <v>145</v>
      </c>
      <c r="H26" s="318"/>
      <c r="I26" s="318"/>
      <c r="J26" s="231"/>
      <c r="K26" s="318" t="s">
        <v>146</v>
      </c>
      <c r="L26" s="318"/>
      <c r="M26" s="318"/>
      <c r="N26" s="232"/>
      <c r="O26" s="318" t="s">
        <v>147</v>
      </c>
      <c r="P26" s="318"/>
      <c r="Q26" s="318"/>
      <c r="R26" s="233"/>
      <c r="S26" s="318" t="s">
        <v>149</v>
      </c>
      <c r="T26" s="318"/>
      <c r="U26" s="318"/>
      <c r="V26" s="41"/>
      <c r="AB26" s="41"/>
      <c r="AC26" s="41"/>
    </row>
    <row r="27" spans="2:30" s="42" customFormat="1" ht="7.5" customHeight="1" thickTop="1" thickBot="1">
      <c r="C27" s="230"/>
      <c r="D27" s="41"/>
      <c r="E27" s="41"/>
      <c r="F27" s="41"/>
      <c r="G27" s="234"/>
      <c r="H27" s="235"/>
      <c r="I27" s="236"/>
      <c r="J27" s="41"/>
      <c r="K27" s="236"/>
      <c r="L27" s="237"/>
      <c r="M27" s="236"/>
      <c r="N27" s="238"/>
      <c r="O27" s="236"/>
      <c r="P27" s="238"/>
      <c r="Q27" s="236"/>
      <c r="R27" s="238"/>
      <c r="S27" s="236"/>
      <c r="T27" s="238"/>
      <c r="U27" s="236"/>
      <c r="V27" s="41"/>
      <c r="W27" s="239"/>
      <c r="X27" s="239"/>
      <c r="Y27" s="41"/>
      <c r="Z27" s="41"/>
      <c r="AA27" s="41"/>
      <c r="AB27" s="41"/>
      <c r="AC27" s="41"/>
    </row>
    <row r="28" spans="2:30" s="240" customFormat="1" ht="12.75" thickTop="1" thickBot="1">
      <c r="D28" s="241"/>
      <c r="E28" s="241"/>
      <c r="F28" s="241"/>
      <c r="G28" s="242" t="s">
        <v>140</v>
      </c>
      <c r="H28" s="243"/>
      <c r="I28" s="242" t="s">
        <v>141</v>
      </c>
      <c r="J28" s="241"/>
      <c r="K28" s="242" t="s">
        <v>140</v>
      </c>
      <c r="L28" s="241"/>
      <c r="M28" s="242" t="s">
        <v>141</v>
      </c>
      <c r="N28" s="244"/>
      <c r="O28" s="242" t="s">
        <v>140</v>
      </c>
      <c r="P28" s="245"/>
      <c r="Q28" s="242" t="s">
        <v>141</v>
      </c>
      <c r="R28" s="245"/>
      <c r="S28" s="242" t="s">
        <v>140</v>
      </c>
      <c r="T28" s="241"/>
      <c r="U28" s="242" t="s">
        <v>141</v>
      </c>
      <c r="V28" s="241"/>
      <c r="AB28" s="241"/>
      <c r="AC28" s="241"/>
    </row>
    <row r="29" spans="2:30" s="42" customFormat="1" ht="21.75" customHeight="1" thickTop="1">
      <c r="B29" s="298" t="s">
        <v>143</v>
      </c>
      <c r="C29" s="299"/>
      <c r="D29" s="313" t="s">
        <v>37</v>
      </c>
      <c r="E29" s="313"/>
      <c r="F29" s="246"/>
      <c r="G29" s="247">
        <f ca="1">Working!D24</f>
        <v>0</v>
      </c>
      <c r="H29" s="248"/>
      <c r="I29" s="249">
        <f ca="1">Working!D29</f>
        <v>0</v>
      </c>
      <c r="J29" s="250"/>
      <c r="K29" s="251">
        <f ca="1">Working!D26</f>
        <v>0</v>
      </c>
      <c r="L29" s="252"/>
      <c r="M29" s="251">
        <f ca="1">Working!D31</f>
        <v>0</v>
      </c>
      <c r="N29" s="253"/>
      <c r="O29" s="251">
        <f ca="1">Working!D27</f>
        <v>0</v>
      </c>
      <c r="P29" s="254"/>
      <c r="Q29" s="251">
        <f ca="1">Working!D32</f>
        <v>0</v>
      </c>
      <c r="R29" s="254"/>
      <c r="S29" s="255">
        <f ca="1">O29+K29</f>
        <v>0</v>
      </c>
      <c r="T29" s="248"/>
      <c r="U29" s="255">
        <f ca="1">Q29+M29</f>
        <v>0</v>
      </c>
      <c r="V29" s="41"/>
      <c r="AB29" s="41"/>
      <c r="AC29" s="41"/>
    </row>
    <row r="30" spans="2:30" s="42" customFormat="1" ht="21.75" customHeight="1" thickBot="1">
      <c r="B30" s="300"/>
      <c r="C30" s="301"/>
      <c r="D30" s="314" t="s">
        <v>36</v>
      </c>
      <c r="E30" s="315"/>
      <c r="F30" s="246"/>
      <c r="G30" s="256">
        <f ca="1">Working!C24</f>
        <v>1.1058282208588956</v>
      </c>
      <c r="H30" s="248"/>
      <c r="I30" s="257">
        <f ca="1">Working!C29</f>
        <v>0.15797546012269939</v>
      </c>
      <c r="J30" s="250"/>
      <c r="K30" s="258">
        <f ca="1">Working!C26</f>
        <v>8.5171835946375854E-2</v>
      </c>
      <c r="L30" s="259"/>
      <c r="M30" s="258">
        <f ca="1">Working!C31</f>
        <v>1.2167405135196551E-2</v>
      </c>
      <c r="N30" s="260"/>
      <c r="O30" s="258">
        <f ca="1">Working!C27</f>
        <v>0.23038087934560331</v>
      </c>
      <c r="P30" s="261"/>
      <c r="Q30" s="258">
        <f ca="1">Working!C32</f>
        <v>3.2911554192229041E-2</v>
      </c>
      <c r="R30" s="261"/>
      <c r="S30" s="258">
        <f ca="1">O30+K30</f>
        <v>0.31555271529197915</v>
      </c>
      <c r="T30" s="248"/>
      <c r="U30" s="258">
        <f ca="1">Q30+M30</f>
        <v>4.5078959327425588E-2</v>
      </c>
      <c r="V30" s="41"/>
      <c r="AB30" s="41"/>
      <c r="AC30" s="41"/>
    </row>
    <row r="31" spans="2:30" s="41" customFormat="1" ht="15.6" customHeight="1" thickTop="1" thickBot="1">
      <c r="B31" s="302"/>
      <c r="C31" s="303"/>
      <c r="D31" s="316" t="s">
        <v>55</v>
      </c>
      <c r="E31" s="316"/>
      <c r="F31" s="246"/>
      <c r="G31" s="294">
        <f ca="1">Working!E24</f>
        <v>-1</v>
      </c>
      <c r="H31" s="295"/>
      <c r="I31" s="296"/>
      <c r="J31" s="262"/>
      <c r="K31" s="294">
        <f ca="1">Working!E26</f>
        <v>-1</v>
      </c>
      <c r="L31" s="295"/>
      <c r="M31" s="296"/>
      <c r="N31" s="263"/>
      <c r="O31" s="294">
        <f ca="1">Working!E27</f>
        <v>-1</v>
      </c>
      <c r="P31" s="295"/>
      <c r="Q31" s="296"/>
      <c r="R31" s="233"/>
      <c r="S31" s="294">
        <f ca="1">Working!E25</f>
        <v>-1</v>
      </c>
      <c r="T31" s="295"/>
      <c r="U31" s="296"/>
    </row>
    <row r="32" spans="2:30" s="41" customFormat="1" ht="15" customHeight="1" thickTop="1" thickBot="1">
      <c r="B32" s="304" t="s">
        <v>142</v>
      </c>
      <c r="C32" s="305"/>
      <c r="D32" s="317" t="s">
        <v>40</v>
      </c>
      <c r="E32" s="317"/>
      <c r="F32" s="246"/>
      <c r="G32" s="264">
        <f ca="1">Working!F24</f>
        <v>2.1522388059701494</v>
      </c>
      <c r="H32" s="265"/>
      <c r="I32" s="264">
        <f ca="1">Working!F29</f>
        <v>0.30746268656716419</v>
      </c>
      <c r="J32" s="248"/>
      <c r="K32" s="266">
        <f ca="1">Working!F26</f>
        <v>0.16576727473742406</v>
      </c>
      <c r="L32" s="259"/>
      <c r="M32" s="266">
        <f ca="1">Working!F31</f>
        <v>2.3681039248203434E-2</v>
      </c>
      <c r="N32" s="267"/>
      <c r="O32" s="266">
        <f ca="1">Working!F27</f>
        <v>0.44838308457711451</v>
      </c>
      <c r="P32" s="268"/>
      <c r="Q32" s="266">
        <f ca="1">Working!F32</f>
        <v>6.4054726368159218E-2</v>
      </c>
      <c r="R32" s="268"/>
      <c r="S32" s="266">
        <f ca="1">O32+K32</f>
        <v>0.61415035931453854</v>
      </c>
      <c r="T32" s="248"/>
      <c r="U32" s="266">
        <f ca="1">Q32+M32</f>
        <v>8.7735765616362649E-2</v>
      </c>
    </row>
    <row r="33" spans="2:21" s="41" customFormat="1" ht="15" customHeight="1" thickTop="1" thickBot="1">
      <c r="B33" s="304"/>
      <c r="C33" s="305"/>
      <c r="D33" s="310" t="s">
        <v>93</v>
      </c>
      <c r="E33" s="311"/>
      <c r="F33" s="246"/>
      <c r="G33" s="294" t="str">
        <f ca="1">Working!G24</f>
        <v>+100%</v>
      </c>
      <c r="H33" s="295"/>
      <c r="I33" s="296"/>
      <c r="K33" s="294" t="str">
        <f ca="1">Working!G26</f>
        <v>+100%</v>
      </c>
      <c r="L33" s="295"/>
      <c r="M33" s="296"/>
      <c r="N33" s="263"/>
      <c r="O33" s="294" t="str">
        <f ca="1">Working!G27</f>
        <v>+100%</v>
      </c>
      <c r="P33" s="295"/>
      <c r="Q33" s="296"/>
      <c r="R33" s="233"/>
      <c r="S33" s="294" t="str">
        <f ca="1">Working!G25</f>
        <v>+100%</v>
      </c>
      <c r="T33" s="295"/>
      <c r="U33" s="296"/>
    </row>
    <row r="34" spans="2:21" ht="15" thickTop="1">
      <c r="D34" s="225"/>
      <c r="E34" s="225"/>
      <c r="F34" s="225"/>
      <c r="G34" s="225"/>
      <c r="H34" s="225"/>
      <c r="I34" s="225"/>
      <c r="N34" s="226"/>
      <c r="O34" s="204"/>
      <c r="P34" s="204"/>
      <c r="Q34" s="205"/>
      <c r="R34" s="204"/>
    </row>
    <row r="35" spans="2:21">
      <c r="B35" s="192" t="s">
        <v>226</v>
      </c>
      <c r="D35" s="225"/>
      <c r="E35" s="225"/>
      <c r="F35" s="225"/>
      <c r="G35" s="225"/>
      <c r="H35" s="225"/>
      <c r="I35" s="225"/>
      <c r="N35" s="226"/>
      <c r="O35" s="204"/>
      <c r="P35" s="204"/>
      <c r="Q35" s="205"/>
      <c r="R35" s="204"/>
    </row>
    <row r="36" spans="2:21" ht="15" customHeight="1">
      <c r="J36" s="227"/>
      <c r="K36" s="225"/>
      <c r="N36" s="226"/>
      <c r="O36" s="204"/>
      <c r="P36" s="204"/>
      <c r="Q36" s="205"/>
      <c r="R36" s="204"/>
    </row>
    <row r="37" spans="2:21" ht="15" customHeight="1"/>
    <row r="38" spans="2:21" ht="15" customHeight="1"/>
    <row r="39" spans="2:21" ht="15" customHeight="1">
      <c r="O39" s="228"/>
      <c r="Q39" s="229"/>
    </row>
    <row r="40" spans="2:21" ht="15" customHeight="1"/>
    <row r="45" spans="2:21" ht="15" customHeight="1"/>
  </sheetData>
  <sheetProtection algorithmName="SHA-512" hashValue="hPeqipILvSLv266vLGQpeT0Z8Y+YhLjbXgz39pDK4PBw3mD1xdFkdS8Jkpw3d/9gNEnxQOjUNU2MJjkT7UDx2g==" saltValue="0gd9LVtKsc4GMpNwc7Vvlw==" spinCount="100000" sheet="1" selectLockedCells="1" autoFilter="0" pivotTables="0"/>
  <mergeCells count="25">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 ref="O33:Q33"/>
    <mergeCell ref="S7:V12"/>
    <mergeCell ref="B29:C31"/>
    <mergeCell ref="B32:C33"/>
    <mergeCell ref="K15:L15"/>
    <mergeCell ref="G31:I31"/>
    <mergeCell ref="M7:P7"/>
    <mergeCell ref="S31:U31"/>
    <mergeCell ref="S33:U33"/>
  </mergeCells>
  <conditionalFormatting sqref="G31">
    <cfRule type="cellIs" dxfId="19" priority="21" operator="greaterThanOrEqual">
      <formula>0.0001</formula>
    </cfRule>
    <cfRule type="cellIs" dxfId="18" priority="22" operator="lessThan">
      <formula>0</formula>
    </cfRule>
  </conditionalFormatting>
  <conditionalFormatting sqref="G33">
    <cfRule type="cellIs" dxfId="17" priority="7" operator="lessThan">
      <formula>0</formula>
    </cfRule>
    <cfRule type="cellIs" dxfId="16" priority="8" operator="greaterThanOrEqual">
      <formula>0.00001</formula>
    </cfRule>
  </conditionalFormatting>
  <conditionalFormatting sqref="K31">
    <cfRule type="cellIs" dxfId="15" priority="13" operator="greaterThanOrEqual">
      <formula>0.0001</formula>
    </cfRule>
    <cfRule type="cellIs" dxfId="14" priority="14" operator="lessThan">
      <formula>0</formula>
    </cfRule>
  </conditionalFormatting>
  <conditionalFormatting sqref="K33">
    <cfRule type="cellIs" dxfId="13" priority="5" operator="lessThan">
      <formula>0</formula>
    </cfRule>
    <cfRule type="cellIs" dxfId="12" priority="6" operator="greaterThanOrEqual">
      <formula>0.00001</formula>
    </cfRule>
  </conditionalFormatting>
  <conditionalFormatting sqref="O31">
    <cfRule type="cellIs" dxfId="11" priority="11" operator="greaterThanOrEqual">
      <formula>0.0001</formula>
    </cfRule>
    <cfRule type="cellIs" dxfId="10" priority="12" operator="lessThan">
      <formula>0</formula>
    </cfRule>
  </conditionalFormatting>
  <conditionalFormatting sqref="O33">
    <cfRule type="cellIs" dxfId="9" priority="3" operator="lessThan">
      <formula>0</formula>
    </cfRule>
    <cfRule type="cellIs" dxfId="8" priority="4" operator="greaterThanOrEqual">
      <formula>0.00001</formula>
    </cfRule>
  </conditionalFormatting>
  <conditionalFormatting sqref="S31">
    <cfRule type="cellIs" dxfId="7" priority="9" operator="greaterThanOrEqual">
      <formula>0.0001</formula>
    </cfRule>
    <cfRule type="cellIs" dxfId="6" priority="10" operator="lessThan">
      <formula>0</formula>
    </cfRule>
  </conditionalFormatting>
  <conditionalFormatting sqref="S33">
    <cfRule type="cellIs" dxfId="5" priority="1" operator="lessThan">
      <formula>0</formula>
    </cfRule>
    <cfRule type="cellIs" dxfId="4" priority="2" operator="greaterThanOrEqual">
      <formula>0.00001</formula>
    </cfRule>
  </conditionalFormatting>
  <dataValidations disablePrompts="1"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topLeftCell="A52" zoomScale="70" zoomScaleNormal="70" workbookViewId="0">
      <selection activeCell="B98" sqref="B98"/>
    </sheetView>
  </sheetViews>
  <sheetFormatPr defaultColWidth="8.7109375" defaultRowHeight="14.25"/>
  <cols>
    <col min="1" max="1" width="8.7109375" style="88"/>
    <col min="2" max="2" width="17.85546875" style="88" bestFit="1" customWidth="1"/>
    <col min="3" max="3" width="22.42578125" style="88" bestFit="1" customWidth="1"/>
    <col min="4" max="4" width="9.28515625" style="88" customWidth="1"/>
    <col min="5" max="5" width="22.42578125" style="88" customWidth="1"/>
    <col min="6" max="6" width="9.5703125" style="88" customWidth="1"/>
    <col min="7" max="7" width="15.85546875" style="88" customWidth="1"/>
    <col min="8" max="8" width="10.28515625" style="88" customWidth="1"/>
    <col min="9" max="9" width="8.7109375" style="88"/>
    <col min="10" max="10" width="15.5703125" style="88" bestFit="1" customWidth="1"/>
    <col min="11" max="11" width="24.85546875" style="111" bestFit="1" customWidth="1"/>
    <col min="12" max="13" width="9.140625" style="111"/>
    <col min="14" max="14" width="26.7109375" style="88" bestFit="1" customWidth="1"/>
    <col min="15" max="16384" width="8.7109375" style="88"/>
  </cols>
  <sheetData>
    <row r="2" spans="2:14">
      <c r="B2" s="87" t="s">
        <v>113</v>
      </c>
      <c r="C2" s="87"/>
      <c r="E2" s="89" t="s">
        <v>46</v>
      </c>
      <c r="F2" s="89" t="s">
        <v>48</v>
      </c>
      <c r="G2" s="89" t="s">
        <v>51</v>
      </c>
      <c r="H2" s="89" t="s">
        <v>50</v>
      </c>
      <c r="I2" s="89" t="s">
        <v>47</v>
      </c>
      <c r="J2" s="89" t="s">
        <v>49</v>
      </c>
      <c r="K2" s="90" t="s">
        <v>45</v>
      </c>
      <c r="L2" s="88"/>
      <c r="M2" s="88"/>
    </row>
    <row r="3" spans="2:14" ht="15.75">
      <c r="B3" s="91" t="s">
        <v>53</v>
      </c>
      <c r="C3" s="15">
        <f>'⏱ Input'!R4</f>
        <v>7.9331481481481507</v>
      </c>
      <c r="D3" s="92"/>
      <c r="E3" s="93">
        <f>'📝 Instructions'!F8</f>
        <v>45302</v>
      </c>
      <c r="F3" s="94">
        <v>1</v>
      </c>
      <c r="G3" s="94">
        <f>Table134[[#This Row],[Diff %]]</f>
        <v>0</v>
      </c>
      <c r="H3" s="95">
        <v>0</v>
      </c>
      <c r="I3" s="96">
        <f>Table134[[#This Row],[Difference]]/$F$7</f>
        <v>1.4749262536873156E-3</v>
      </c>
      <c r="J3" s="96"/>
      <c r="K3" s="97" t="str">
        <f>"Start "&amp;CHAR(10)&amp;TEXT(Table134[[#This Row],[YEAR]],"dd-mmm-yy")</f>
        <v>Start 
11-Jan-24</v>
      </c>
      <c r="L3" s="88"/>
      <c r="M3" s="88"/>
    </row>
    <row r="4" spans="2:14" ht="15.75">
      <c r="B4" s="91" t="s">
        <v>115</v>
      </c>
      <c r="C4" s="15">
        <f>('📊 Summary'!I10*'⏱ Input'!T4)/24</f>
        <v>21.458333333333332</v>
      </c>
      <c r="D4" s="92"/>
      <c r="E4" s="93">
        <f ca="1">TODAY()</f>
        <v>45619</v>
      </c>
      <c r="F4" s="94">
        <f ca="1">Table134[[#This Row],[YEAR]]-$E$3</f>
        <v>317</v>
      </c>
      <c r="G4" s="94">
        <f ca="1">Table134[[#This Row],[Diff %]]</f>
        <v>0.46607669616519171</v>
      </c>
      <c r="H4" s="95">
        <f ca="1">Table134[[#This Row],[%]]-I3</f>
        <v>0.46607669616519171</v>
      </c>
      <c r="I4" s="96">
        <f ca="1">Table134[[#This Row],[Difference]]/$F$7</f>
        <v>0.46755162241887904</v>
      </c>
      <c r="J4" s="98" t="str">
        <f ca="1">Table134[[#This Row],[YEAR]]-E3&amp;" days over"</f>
        <v>317 days over</v>
      </c>
      <c r="K4" s="97" t="str">
        <f ca="1">"Today "&amp;TEXT(Table134[[#This Row],[YEAR]],"dd-mmm-yy")</f>
        <v>Today 23-Nov-24</v>
      </c>
      <c r="L4" s="88"/>
      <c r="M4" s="88"/>
    </row>
    <row r="5" spans="2:14" ht="15.75">
      <c r="B5" s="85" t="s">
        <v>54</v>
      </c>
      <c r="C5" s="15">
        <f>SUM(C3:C4)</f>
        <v>29.391481481481485</v>
      </c>
      <c r="D5" s="92"/>
      <c r="E5" s="93">
        <f>E6-'📊 Summary'!I12</f>
        <v>45954</v>
      </c>
      <c r="F5" s="94">
        <f>Table134[[#This Row],[YEAR]]-$E$3</f>
        <v>652</v>
      </c>
      <c r="G5" s="94">
        <f ca="1">Table134[[#This Row],[Diff %]]</f>
        <v>0.49410029498525077</v>
      </c>
      <c r="H5" s="95">
        <f ca="1">Table134[[#This Row],[%]]-I4</f>
        <v>0.49410029498525077</v>
      </c>
      <c r="I5" s="96">
        <f>Table134[[#This Row],[Difference]]/$F$7</f>
        <v>0.96165191740412981</v>
      </c>
      <c r="J5" s="98" t="str">
        <f ca="1">IF(E4&gt;Table134[[#This Row],[YEAR]],Table134[[#This Row],[YEAR]]-E3,Table134[[#This Row],[YEAR]]-E4)&amp;" study days left"</f>
        <v>335 study days left</v>
      </c>
      <c r="K5" s="97" t="str">
        <f>"Lecture Completed "&amp;TEXT(Table134[[#This Row],[YEAR]],"dd-mmm-yy")</f>
        <v>Lecture Completed 24-Oct-25</v>
      </c>
      <c r="L5" s="88"/>
      <c r="M5" s="88"/>
    </row>
    <row r="6" spans="2:14" ht="15.75">
      <c r="B6" s="85" t="s">
        <v>114</v>
      </c>
      <c r="C6" s="127">
        <f>C5/(((('📊 Summary'!I8*5)+('📊 Summary'!I9*2))/24)/7)</f>
        <v>173.25504873294349</v>
      </c>
      <c r="D6" s="99"/>
      <c r="E6" s="93">
        <f>E7-'📊 Summary'!I11</f>
        <v>45959</v>
      </c>
      <c r="F6" s="94">
        <f>Table134[[#This Row],[YEAR]]-$E$3</f>
        <v>657</v>
      </c>
      <c r="G6" s="94">
        <f>Table134[[#This Row],[Diff %]]</f>
        <v>7.3746312684365156E-3</v>
      </c>
      <c r="H6" s="95">
        <f>Table134[[#This Row],[%]]-I5</f>
        <v>7.3746312684365156E-3</v>
      </c>
      <c r="I6" s="96">
        <f>Table134[[#This Row],[Difference]]/$F$7</f>
        <v>0.96902654867256632</v>
      </c>
      <c r="J6" s="98" t="str">
        <f>Table134[[#This Row],[YEAR]]-E5&amp;"  buffer days"</f>
        <v>5  buffer days</v>
      </c>
      <c r="K6" s="97" t="str">
        <f>"Start Revision "&amp;TEXT(Table134[[#This Row],[YEAR]],"dd-mmm-yy")</f>
        <v>Start Revision 29-Oct-25</v>
      </c>
      <c r="L6" s="88"/>
      <c r="M6" s="88"/>
    </row>
    <row r="7" spans="2:14">
      <c r="E7" s="93">
        <f>'📝 Instructions'!F9</f>
        <v>45980</v>
      </c>
      <c r="F7" s="94">
        <f>Table134[[#This Row],[YEAR]]-$E$3</f>
        <v>678</v>
      </c>
      <c r="G7" s="94">
        <f>Table134[[#This Row],[Diff %]]</f>
        <v>3.0973451327433676E-2</v>
      </c>
      <c r="H7" s="95">
        <f>Table134[[#This Row],[%]]-I6</f>
        <v>3.0973451327433676E-2</v>
      </c>
      <c r="I7" s="96">
        <f>Table134[[#This Row],[Difference]]/$F$7</f>
        <v>1</v>
      </c>
      <c r="J7" s="98" t="str">
        <f>Table134[[#This Row],[YEAR]]-E6&amp;" revision days"</f>
        <v>21 revision days</v>
      </c>
      <c r="K7" s="97" t="str">
        <f>"Exam "&amp;TEXT(Table134[[#This Row],[YEAR]],"dd-mmm-yy")</f>
        <v>Exam 19-Nov-25</v>
      </c>
      <c r="L7" s="88"/>
      <c r="M7" s="88"/>
    </row>
    <row r="8" spans="2:14" ht="15.75">
      <c r="B8" s="88" t="s">
        <v>118</v>
      </c>
      <c r="C8" s="15">
        <f ca="1">('⏱ Input'!R4-'⏱ Input'!R5)/F17</f>
        <v>0.16576727473742406</v>
      </c>
      <c r="E8" s="100"/>
      <c r="F8" s="101"/>
      <c r="G8" s="101"/>
      <c r="H8" s="102">
        <f ca="1">SUBTOTAL(109,Table134[Diff %])</f>
        <v>0.99852507374631272</v>
      </c>
      <c r="I8" s="103"/>
      <c r="J8" s="104"/>
      <c r="K8" s="105"/>
      <c r="L8" s="88"/>
      <c r="M8" s="88"/>
    </row>
    <row r="9" spans="2:14" ht="18.75">
      <c r="C9" s="106"/>
      <c r="E9" s="107"/>
      <c r="F9" s="108"/>
      <c r="G9" s="108"/>
      <c r="H9" s="109"/>
      <c r="I9" s="110"/>
      <c r="J9" s="111"/>
      <c r="K9" s="88"/>
      <c r="L9" s="88"/>
      <c r="M9" s="88"/>
    </row>
    <row r="10" spans="2:14" ht="47.25">
      <c r="B10" s="83" t="s">
        <v>35</v>
      </c>
      <c r="C10" s="84">
        <f ca="1">'📝 Instructions'!F9-TODAY()</f>
        <v>361</v>
      </c>
      <c r="E10" s="107"/>
      <c r="F10" s="108"/>
      <c r="G10" s="108"/>
      <c r="H10" s="109"/>
      <c r="I10" s="110"/>
      <c r="J10" s="111"/>
      <c r="K10" s="88"/>
      <c r="L10" s="88"/>
      <c r="M10" s="88"/>
    </row>
    <row r="11" spans="2:14" ht="15.75">
      <c r="B11" s="85" t="s">
        <v>52</v>
      </c>
      <c r="C11" s="84">
        <f ca="1">IF(C10&lt;SUM('📊 Summary'!I11:I12),0,C10-'📊 Summary'!I11-'📊 Summary'!I12)</f>
        <v>335</v>
      </c>
      <c r="E11" s="107"/>
      <c r="F11" s="108"/>
      <c r="G11" s="108"/>
      <c r="H11" s="109"/>
      <c r="I11" s="110"/>
      <c r="J11" s="111"/>
      <c r="K11" s="88"/>
      <c r="L11" s="88"/>
      <c r="M11" s="88"/>
    </row>
    <row r="12" spans="2:14" ht="15.75">
      <c r="B12" s="85" t="s">
        <v>42</v>
      </c>
      <c r="C12" s="86">
        <f>((('📊 Summary'!I8*5)+('📊 Summary'!I9*2))/7)*F21</f>
        <v>32.299246031746037</v>
      </c>
      <c r="E12" s="107"/>
      <c r="F12" s="108"/>
      <c r="G12" s="108"/>
      <c r="H12" s="109"/>
      <c r="I12" s="110"/>
      <c r="J12" s="111"/>
      <c r="K12" s="88"/>
      <c r="L12" s="88"/>
      <c r="M12" s="88"/>
    </row>
    <row r="14" spans="2:14" ht="15.75">
      <c r="B14" s="319"/>
      <c r="C14" s="320" t="s">
        <v>41</v>
      </c>
      <c r="D14" s="320"/>
      <c r="E14" s="320"/>
      <c r="F14" s="112" t="s">
        <v>39</v>
      </c>
      <c r="G14" s="113"/>
    </row>
    <row r="15" spans="2:14" ht="31.5">
      <c r="B15" s="319"/>
      <c r="C15" s="113" t="s">
        <v>36</v>
      </c>
      <c r="D15" s="113" t="s">
        <v>37</v>
      </c>
      <c r="E15" s="113" t="s">
        <v>55</v>
      </c>
      <c r="F15" s="113" t="s">
        <v>40</v>
      </c>
      <c r="G15" s="113" t="s">
        <v>93</v>
      </c>
      <c r="K15" s="88"/>
      <c r="N15" s="111"/>
    </row>
    <row r="16" spans="2:14" ht="47.25">
      <c r="B16" s="114" t="s">
        <v>44</v>
      </c>
      <c r="C16" s="115">
        <f ca="1">('⏱ Input'!T4/('📝 Instructions'!F9-'📝 Instructions'!F8-'📊 Summary'!I11-'📊 Summary'!I12))*(TODAY()-'📝 Instructions'!F8)</f>
        <v>50.078220858895705</v>
      </c>
      <c r="D16" s="115">
        <f>COUNTIFS(Master_Data[Lectures],"d",Master_Data[Self Study],"d")</f>
        <v>0</v>
      </c>
      <c r="E16" s="21">
        <f ca="1">IF((D16-C16)/C16&gt;0,"+"&amp;ROUND(((D16-C16)/C16)*100,0)&amp;"%",ROUND(((D16-C16)/C16),2))</f>
        <v>-1</v>
      </c>
      <c r="F16" s="115">
        <f>COUNTIFS(Master_Data[Lectures],"u",Master_Data[Self Study],"u")</f>
        <v>103</v>
      </c>
      <c r="G16" s="20" t="str">
        <f>IFERROR(IF((F16-D16)/F16&gt;0,"+"&amp;ROUND(((F16-D16)/F16)*100,0)&amp;"%",ROUND(((F16-D16)/F16),2)),"-")</f>
        <v>+100%</v>
      </c>
      <c r="H16" s="134"/>
      <c r="K16" s="88"/>
      <c r="N16" s="111"/>
    </row>
    <row r="17" spans="2:14" ht="47.25">
      <c r="B17" s="114" t="s">
        <v>72</v>
      </c>
      <c r="C17" s="81">
        <f ca="1">C18/7</f>
        <v>45.285714285714285</v>
      </c>
      <c r="D17" s="81">
        <f ca="1">D18/7</f>
        <v>45.285714285714285</v>
      </c>
      <c r="E17" s="21"/>
      <c r="F17" s="81">
        <f ca="1">F18/7</f>
        <v>47.857142857142854</v>
      </c>
      <c r="G17" s="20"/>
      <c r="K17" s="88"/>
      <c r="N17" s="111"/>
    </row>
    <row r="18" spans="2:14" ht="47.25">
      <c r="B18" s="114" t="s">
        <v>73</v>
      </c>
      <c r="C18" s="82">
        <f ca="1">TODAY()-'📝 Instructions'!F8</f>
        <v>317</v>
      </c>
      <c r="D18" s="82">
        <f ca="1">TODAY()-'📝 Instructions'!F8</f>
        <v>317</v>
      </c>
      <c r="E18" s="21"/>
      <c r="F18" s="82">
        <f ca="1">IF(C10&lt;SUM('📊 Summary'!I11:I12),0,Working!C10-'📊 Summary'!I11-'📊 Summary'!I12)</f>
        <v>335</v>
      </c>
      <c r="G18" s="20"/>
      <c r="K18" s="88"/>
      <c r="N18" s="111"/>
    </row>
    <row r="19" spans="2:14" ht="63">
      <c r="B19" s="114" t="s">
        <v>66</v>
      </c>
      <c r="C19" s="15">
        <f ca="1">((('📊 Summary'!$I$8*5)+('📊 Summary'!$I$9*2))/24)*Working!C17</f>
        <v>53.776785714285715</v>
      </c>
      <c r="D19" s="15">
        <f ca="1">((('📊 Summary'!$I$8*5)+('📊 Summary'!$I$9*2))/24)*Working!D17</f>
        <v>53.776785714285715</v>
      </c>
      <c r="E19" s="21"/>
      <c r="F19" s="15">
        <f ca="1">((('📊 Summary'!$I$8*5)+('📊 Summary'!$I$9*2))/24)*Working!F17</f>
        <v>56.830357142857139</v>
      </c>
      <c r="G19" s="20"/>
      <c r="K19" s="88"/>
      <c r="N19" s="111"/>
    </row>
    <row r="20" spans="2:14" ht="47.25">
      <c r="B20" s="116" t="s">
        <v>67</v>
      </c>
      <c r="C20" s="9">
        <f ca="1">C21+C22</f>
        <v>14.290030106793914</v>
      </c>
      <c r="D20" s="9">
        <f>D21+D22</f>
        <v>0</v>
      </c>
      <c r="E20" s="21">
        <f t="shared" ref="E20:E22" ca="1" si="0">IF((D20-C20)/C20&gt;0,"+"&amp;ROUND(((D20-C20)/C20)*100,0)&amp;"%",ROUND(((D20-C20)/C20),2))</f>
        <v>-1</v>
      </c>
      <c r="F20" s="9">
        <f>F21+F22</f>
        <v>29.391481481481485</v>
      </c>
      <c r="G20" s="20" t="str">
        <f t="shared" ref="G20:G22" si="1">IFERROR(IF((F20-D20)/F20&gt;0,"+"&amp;ROUND(((F20-D20)/F20)*100,0)&amp;"%",ROUND(((F20-D20)/F20),2)),"-")</f>
        <v>+100%</v>
      </c>
    </row>
    <row r="21" spans="2:14" ht="31.5">
      <c r="B21" s="117" t="s">
        <v>70</v>
      </c>
      <c r="C21" s="15">
        <f ca="1">((TODAY()-'📝 Instructions'!F8)/('📝 Instructions'!F9-'📝 Instructions'!F8-'📊 Summary'!I11-'📊 Summary'!I12))*'⏱ Input'!R4</f>
        <v>3.8570674278573067</v>
      </c>
      <c r="D21" s="15">
        <f>SUMIF(Master_Data[Lectures],"d",Master_Data[Duration (hh:mm)])</f>
        <v>0</v>
      </c>
      <c r="E21" s="21">
        <f t="shared" ca="1" si="0"/>
        <v>-1</v>
      </c>
      <c r="F21" s="15">
        <f>SUMIF(Master_Data[Lectures],"u",Master_Data[Duration (hh:mm)])</f>
        <v>7.9331481481481507</v>
      </c>
      <c r="G21" s="20" t="str">
        <f t="shared" si="1"/>
        <v>+100%</v>
      </c>
    </row>
    <row r="22" spans="2:14" ht="63">
      <c r="B22" s="117" t="s">
        <v>74</v>
      </c>
      <c r="C22" s="15">
        <f ca="1">C16*('📊 Summary'!$I$10/24)</f>
        <v>10.432962678936606</v>
      </c>
      <c r="D22" s="15">
        <f>D16*('📊 Summary'!$I$10/24)</f>
        <v>0</v>
      </c>
      <c r="E22" s="21">
        <f t="shared" ca="1" si="0"/>
        <v>-1</v>
      </c>
      <c r="F22" s="15">
        <f>F16*('📊 Summary'!$I$10/24)</f>
        <v>21.458333333333336</v>
      </c>
      <c r="G22" s="20" t="str">
        <f t="shared" si="1"/>
        <v>+100%</v>
      </c>
    </row>
    <row r="23" spans="2:14" ht="31.5">
      <c r="B23" s="116" t="s">
        <v>68</v>
      </c>
      <c r="C23" s="15"/>
      <c r="D23" s="15"/>
      <c r="E23" s="21"/>
      <c r="F23" s="15"/>
      <c r="G23" s="20"/>
    </row>
    <row r="24" spans="2:14" ht="31.5">
      <c r="B24" s="116" t="s">
        <v>75</v>
      </c>
      <c r="C24" s="133">
        <f ca="1">C16/C$17</f>
        <v>1.1058282208588956</v>
      </c>
      <c r="D24" s="133">
        <f ca="1">D16/D$17</f>
        <v>0</v>
      </c>
      <c r="E24" s="21">
        <f t="shared" ref="E24:E27" ca="1" si="2">IF((D24-C24)/C24&gt;0,"+"&amp;ROUND(((D24-C24)/C24)*100,0)&amp;"%",ROUND(((D24-C24)/C24),2))</f>
        <v>-1</v>
      </c>
      <c r="F24" s="133">
        <f ca="1">IFERROR(F16/F$17,"-")</f>
        <v>2.1522388059701494</v>
      </c>
      <c r="G24" s="20" t="str">
        <f ca="1">IFERROR(IF((F24-D24)/F24&gt;0,"+"&amp;ROUND(((F24-D24)/F24)*100,0)&amp;"%",ROUND(((F24-D24)/F24),2)),"-")</f>
        <v>+100%</v>
      </c>
      <c r="H24" s="134"/>
    </row>
    <row r="25" spans="2:14" ht="31.5">
      <c r="B25" s="116" t="s">
        <v>71</v>
      </c>
      <c r="C25" s="9">
        <f ca="1">C26+C27</f>
        <v>0.31555271529197915</v>
      </c>
      <c r="D25" s="9">
        <f ca="1">D26+D27</f>
        <v>0</v>
      </c>
      <c r="E25" s="21">
        <f t="shared" ca="1" si="2"/>
        <v>-1</v>
      </c>
      <c r="F25" s="9">
        <f ca="1">IFERROR(F26+F27,"-")</f>
        <v>0.61415035931453854</v>
      </c>
      <c r="G25" s="20" t="str">
        <f t="shared" ref="G25:G27" ca="1" si="3">IFERROR(IF((F25-D25)/F25&gt;0,"+"&amp;ROUND(((F25-D25)/F25)*100,0)&amp;"%",ROUND(((F25-D25)/F25),2)),"-")</f>
        <v>+100%</v>
      </c>
    </row>
    <row r="26" spans="2:14" ht="31.5">
      <c r="B26" s="117" t="s">
        <v>70</v>
      </c>
      <c r="C26" s="15">
        <f ca="1">C21/C$17</f>
        <v>8.5171835946375854E-2</v>
      </c>
      <c r="D26" s="15">
        <f ca="1">D21/D$17</f>
        <v>0</v>
      </c>
      <c r="E26" s="21">
        <f t="shared" ca="1" si="2"/>
        <v>-1</v>
      </c>
      <c r="F26" s="15">
        <f ca="1">IFERROR(F21/F$17,"-")</f>
        <v>0.16576727473742406</v>
      </c>
      <c r="G26" s="20" t="str">
        <f t="shared" ca="1" si="3"/>
        <v>+100%</v>
      </c>
    </row>
    <row r="27" spans="2:14" ht="63">
      <c r="B27" s="117" t="s">
        <v>74</v>
      </c>
      <c r="C27" s="15">
        <f ca="1">C22/C$17</f>
        <v>0.23038087934560331</v>
      </c>
      <c r="D27" s="15">
        <f ca="1">D22/D$17</f>
        <v>0</v>
      </c>
      <c r="E27" s="21">
        <f t="shared" ca="1" si="2"/>
        <v>-1</v>
      </c>
      <c r="F27" s="15">
        <f ca="1">IFERROR(F22/F$17,"-")</f>
        <v>0.44838308457711451</v>
      </c>
      <c r="G27" s="20" t="str">
        <f t="shared" ca="1" si="3"/>
        <v>+100%</v>
      </c>
    </row>
    <row r="28" spans="2:14" ht="31.5">
      <c r="B28" s="116" t="s">
        <v>69</v>
      </c>
      <c r="C28" s="15"/>
      <c r="D28" s="15"/>
      <c r="E28" s="21"/>
      <c r="F28" s="15"/>
      <c r="G28" s="20"/>
    </row>
    <row r="29" spans="2:14" ht="31.5">
      <c r="B29" s="116" t="s">
        <v>75</v>
      </c>
      <c r="C29" s="133">
        <f ca="1">C16/C$18</f>
        <v>0.15797546012269939</v>
      </c>
      <c r="D29" s="133">
        <f ca="1">D16/D$18</f>
        <v>0</v>
      </c>
      <c r="E29" s="21">
        <f t="shared" ref="E29:E32" ca="1" si="4">IF((D29-C29)/C29&gt;0,"+"&amp;ROUND(((D29-C29)/C29)*100,0)&amp;"%",ROUND(((D29-C29)/C29),2))</f>
        <v>-1</v>
      </c>
      <c r="F29" s="133">
        <f ca="1">IFERROR(F16/F$18,"-")</f>
        <v>0.30746268656716419</v>
      </c>
      <c r="G29" s="20" t="str">
        <f t="shared" ref="G29:G32" ca="1" si="5">IFERROR(IF((F29-D29)/F29&gt;0,"+"&amp;ROUND(((F29-D29)/F29)*100,0)&amp;"%",ROUND(((F29-D29)/F29),2)),"-")</f>
        <v>+100%</v>
      </c>
    </row>
    <row r="30" spans="2:14" ht="31.5">
      <c r="B30" s="116" t="s">
        <v>71</v>
      </c>
      <c r="C30" s="9">
        <f ca="1">C31+C32</f>
        <v>4.5078959327425588E-2</v>
      </c>
      <c r="D30" s="9">
        <f ca="1">D31+D32</f>
        <v>0</v>
      </c>
      <c r="E30" s="21">
        <f t="shared" ca="1" si="4"/>
        <v>-1</v>
      </c>
      <c r="F30" s="9">
        <f ca="1">IFERROR(F31+F32,"-")</f>
        <v>8.7735765616362649E-2</v>
      </c>
      <c r="G30" s="20" t="str">
        <f t="shared" ca="1" si="5"/>
        <v>+100%</v>
      </c>
    </row>
    <row r="31" spans="2:14" ht="31.5">
      <c r="B31" s="117" t="s">
        <v>70</v>
      </c>
      <c r="C31" s="15">
        <f ca="1">C21/C$18</f>
        <v>1.2167405135196551E-2</v>
      </c>
      <c r="D31" s="15">
        <f ca="1">D21/D$18</f>
        <v>0</v>
      </c>
      <c r="E31" s="21">
        <f t="shared" ca="1" si="4"/>
        <v>-1</v>
      </c>
      <c r="F31" s="15">
        <f ca="1">IFERROR(F21/F$18,"-")</f>
        <v>2.3681039248203434E-2</v>
      </c>
      <c r="G31" s="20" t="str">
        <f t="shared" ca="1" si="5"/>
        <v>+100%</v>
      </c>
    </row>
    <row r="32" spans="2:14" ht="63">
      <c r="B32" s="117" t="s">
        <v>74</v>
      </c>
      <c r="C32" s="15">
        <f ca="1">C22/C$18</f>
        <v>3.2911554192229041E-2</v>
      </c>
      <c r="D32" s="15">
        <f ca="1">D22/D$18</f>
        <v>0</v>
      </c>
      <c r="E32" s="21">
        <f t="shared" ca="1" si="4"/>
        <v>-1</v>
      </c>
      <c r="F32" s="15">
        <f ca="1">IFERROR(F22/F$18,"-")</f>
        <v>6.4054726368159218E-2</v>
      </c>
      <c r="G32" s="20" t="str">
        <f t="shared" ca="1" si="5"/>
        <v>+100%</v>
      </c>
    </row>
    <row r="33" spans="2:7" ht="15.75">
      <c r="B33" s="118"/>
      <c r="C33" s="92"/>
      <c r="D33" s="92"/>
      <c r="E33" s="119"/>
      <c r="F33" s="92"/>
      <c r="G33" s="78"/>
    </row>
    <row r="34" spans="2:7" ht="15.75">
      <c r="B34" s="128" t="s">
        <v>60</v>
      </c>
      <c r="C34" s="128"/>
      <c r="D34" s="92"/>
      <c r="E34" s="119"/>
      <c r="F34" s="92"/>
      <c r="G34" s="78"/>
    </row>
    <row r="35" spans="2:7" ht="15.75">
      <c r="B35" s="129" t="s">
        <v>56</v>
      </c>
      <c r="C35" s="92">
        <f ca="1">(C42*((('📊 Summary'!I8*5)/24)/((('📊 Summary'!I8*5)+('📊 Summary'!I9*2))/24)))/5</f>
        <v>5.387283853636303E-2</v>
      </c>
      <c r="D35" s="92"/>
      <c r="E35" s="119"/>
      <c r="F35" s="92"/>
      <c r="G35" s="78"/>
    </row>
    <row r="36" spans="2:7" ht="15.75">
      <c r="B36" s="129" t="s">
        <v>57</v>
      </c>
      <c r="C36" s="92">
        <f ca="1">(C42*((('📊 Summary'!I9*2)/24)/((('📊 Summary'!I8*5)+('📊 Summary'!I9*2))/24)))/2</f>
        <v>0.17239308331636169</v>
      </c>
      <c r="D36" s="92"/>
      <c r="E36" s="119"/>
      <c r="F36" s="92"/>
      <c r="G36" s="78"/>
    </row>
    <row r="37" spans="2:7" ht="15.75">
      <c r="B37" s="130"/>
      <c r="C37" s="130"/>
      <c r="D37" s="92"/>
      <c r="E37" s="119"/>
      <c r="F37" s="92"/>
      <c r="G37" s="78"/>
    </row>
    <row r="38" spans="2:7" ht="15.75">
      <c r="B38" s="128" t="s">
        <v>58</v>
      </c>
      <c r="C38" s="92"/>
      <c r="D38" s="92"/>
      <c r="E38" s="119"/>
      <c r="F38" s="92"/>
      <c r="G38" s="78"/>
    </row>
    <row r="39" spans="2:7" ht="15.75">
      <c r="B39" s="131" t="s">
        <v>53</v>
      </c>
      <c r="C39" s="92">
        <f>F21</f>
        <v>7.9331481481481507</v>
      </c>
      <c r="D39" s="92"/>
      <c r="E39" s="119"/>
      <c r="F39" s="92"/>
      <c r="G39" s="78"/>
    </row>
    <row r="40" spans="2:7" ht="15.75">
      <c r="B40" s="131" t="s">
        <v>22</v>
      </c>
      <c r="C40" s="92">
        <f>F22</f>
        <v>21.458333333333336</v>
      </c>
      <c r="D40" s="92"/>
      <c r="E40" s="119"/>
      <c r="F40" s="92"/>
      <c r="G40" s="78"/>
    </row>
    <row r="41" spans="2:7" ht="15.75">
      <c r="B41" s="129" t="s">
        <v>54</v>
      </c>
      <c r="C41" s="132">
        <f>SUM(C39:C40)</f>
        <v>29.391481481481485</v>
      </c>
      <c r="D41" s="92"/>
      <c r="E41" s="119"/>
      <c r="F41" s="92"/>
      <c r="G41" s="78"/>
    </row>
    <row r="42" spans="2:7" ht="15.75">
      <c r="B42" s="129" t="s">
        <v>59</v>
      </c>
      <c r="C42" s="92">
        <f ca="1">C41/F17</f>
        <v>0.61415035931453854</v>
      </c>
      <c r="D42" s="92"/>
      <c r="E42" s="119"/>
      <c r="F42" s="92"/>
      <c r="G42" s="78"/>
    </row>
    <row r="43" spans="2:7" ht="15.75">
      <c r="B43" s="118"/>
      <c r="C43" s="92"/>
      <c r="D43" s="92"/>
      <c r="E43" s="119"/>
      <c r="F43" s="92"/>
      <c r="G43" s="78"/>
    </row>
    <row r="44" spans="2:7" ht="15.75">
      <c r="B44" s="118"/>
      <c r="C44" s="92"/>
      <c r="D44" s="92"/>
      <c r="E44" s="119"/>
      <c r="F44" s="92"/>
      <c r="G44" s="78"/>
    </row>
    <row r="45" spans="2:7">
      <c r="C45" s="111"/>
      <c r="D45" s="111"/>
    </row>
    <row r="46" spans="2:7">
      <c r="B46" s="120" t="s">
        <v>9</v>
      </c>
      <c r="C46" s="87"/>
      <c r="D46" s="87"/>
      <c r="E46" s="87"/>
    </row>
    <row r="47" spans="2:7">
      <c r="B47" s="87" t="s">
        <v>11</v>
      </c>
      <c r="C47" s="121">
        <f>D47/$D$51</f>
        <v>0</v>
      </c>
      <c r="D47" s="87">
        <f>COUNTIFS(Master_Data[Lectures],"d",Master_Data[Self Study],"d")</f>
        <v>0</v>
      </c>
      <c r="E47" s="121" t="str">
        <f>IF(C47=0,"",CONCATENATE(B47,", ",ROUND(D47,0)))</f>
        <v/>
      </c>
    </row>
    <row r="48" spans="2:7">
      <c r="B48" s="87" t="s">
        <v>138</v>
      </c>
      <c r="C48" s="121">
        <f t="shared" ref="C48:C51" ca="1" si="6">D48/$D$51</f>
        <v>0</v>
      </c>
      <c r="D48" s="122">
        <f ca="1">IF(C16&lt;D16,D16-C16,0)</f>
        <v>0</v>
      </c>
      <c r="E48" s="121" t="str">
        <f t="shared" ref="E48:E50" ca="1" si="7">IF(C48=0,"",CONCATENATE(B48,", ",ROUND(D48,0)))</f>
        <v/>
      </c>
    </row>
    <row r="49" spans="2:14">
      <c r="B49" s="87" t="s">
        <v>139</v>
      </c>
      <c r="C49" s="121">
        <f t="shared" ca="1" si="6"/>
        <v>0.48619631901840488</v>
      </c>
      <c r="D49" s="122">
        <f ca="1">IF(C16&gt;D16,C16-D16,0)</f>
        <v>50.078220858895705</v>
      </c>
      <c r="E49" s="121" t="str">
        <f t="shared" ca="1" si="7"/>
        <v>Extra Undone, 50</v>
      </c>
    </row>
    <row r="50" spans="2:14">
      <c r="B50" s="87" t="s">
        <v>12</v>
      </c>
      <c r="C50" s="121">
        <f t="shared" ca="1" si="6"/>
        <v>0.51380368098159512</v>
      </c>
      <c r="D50" s="123">
        <f ca="1">D51-D47-D49</f>
        <v>52.921779141104295</v>
      </c>
      <c r="E50" s="121" t="str">
        <f t="shared" ca="1" si="7"/>
        <v>Undone, 53</v>
      </c>
    </row>
    <row r="51" spans="2:14">
      <c r="B51" s="87" t="s">
        <v>7</v>
      </c>
      <c r="C51" s="121">
        <f t="shared" si="6"/>
        <v>1</v>
      </c>
      <c r="D51" s="123">
        <f>'⏱ Input'!T4</f>
        <v>103</v>
      </c>
      <c r="E51" s="121"/>
    </row>
    <row r="53" spans="2:14">
      <c r="B53" s="120" t="s">
        <v>136</v>
      </c>
      <c r="C53" s="87"/>
      <c r="D53" s="87"/>
      <c r="E53" s="87"/>
      <c r="N53" s="124"/>
    </row>
    <row r="54" spans="2:14">
      <c r="B54" s="87" t="s">
        <v>11</v>
      </c>
      <c r="C54" s="121">
        <f>D54/$D$58</f>
        <v>0</v>
      </c>
      <c r="D54" s="136">
        <f>'⏱ Input'!R5</f>
        <v>0</v>
      </c>
      <c r="E54" s="87" t="str">
        <f>IF(C54=0,"",CONCATENATE(B54,", ",TEXT(D54,"[h]")))</f>
        <v/>
      </c>
      <c r="G54" s="124"/>
    </row>
    <row r="55" spans="2:14">
      <c r="B55" s="87" t="s">
        <v>138</v>
      </c>
      <c r="C55" s="121">
        <f t="shared" ref="C55:C58" ca="1" si="8">D55/$D$58</f>
        <v>0</v>
      </c>
      <c r="D55" s="136">
        <f ca="1">IF(C21&lt;D21,D21-C21,0)</f>
        <v>0</v>
      </c>
      <c r="E55" s="121" t="str">
        <f ca="1">IF(C55=0,"",CONCATENATE(B55,", ",TEXT(D55,"[h]")))</f>
        <v/>
      </c>
    </row>
    <row r="56" spans="2:14">
      <c r="B56" s="87" t="s">
        <v>139</v>
      </c>
      <c r="C56" s="121">
        <f t="shared" ca="1" si="8"/>
        <v>0.48619631901840493</v>
      </c>
      <c r="D56" s="136">
        <f ca="1">IF(C21&gt;D21,C21-D21,0)</f>
        <v>3.8570674278573067</v>
      </c>
      <c r="E56" s="121" t="str">
        <f ca="1">IF(C56=0,"",CONCATENATE(B56,", ",TEXT(D56,"[h]")))</f>
        <v>Extra Undone, 92</v>
      </c>
    </row>
    <row r="57" spans="2:14">
      <c r="B57" s="87" t="s">
        <v>12</v>
      </c>
      <c r="C57" s="121">
        <f t="shared" ca="1" si="8"/>
        <v>0.51380368098159501</v>
      </c>
      <c r="D57" s="136">
        <f ca="1">D58-D54-D56</f>
        <v>4.076080720290844</v>
      </c>
      <c r="E57" s="121" t="str">
        <f ca="1">IF(C57=0,"",CONCATENATE(B57,", ",TEXT(D57,"[h]")))</f>
        <v>Undone, 97</v>
      </c>
    </row>
    <row r="58" spans="2:14">
      <c r="B58" s="87" t="s">
        <v>7</v>
      </c>
      <c r="C58" s="121">
        <f t="shared" si="8"/>
        <v>1</v>
      </c>
      <c r="D58" s="136">
        <f>'⏱ Input'!R4</f>
        <v>7.9331481481481507</v>
      </c>
      <c r="E58" s="121"/>
    </row>
    <row r="60" spans="2:14">
      <c r="B60" s="120" t="s">
        <v>137</v>
      </c>
      <c r="C60" s="87"/>
      <c r="D60" s="87"/>
      <c r="E60" s="87"/>
    </row>
    <row r="61" spans="2:14">
      <c r="B61" s="87" t="s">
        <v>11</v>
      </c>
      <c r="C61" s="121">
        <f>D61/$D$65</f>
        <v>0</v>
      </c>
      <c r="D61" s="136">
        <f>'⏱ Input'!U5*('📊 Summary'!I10/24)</f>
        <v>0</v>
      </c>
      <c r="E61" s="121" t="str">
        <f>IF(C61=0,"",CONCATENATE(B61,", ",TEXT(D61,"[h]")))</f>
        <v/>
      </c>
    </row>
    <row r="62" spans="2:14">
      <c r="B62" s="87" t="s">
        <v>138</v>
      </c>
      <c r="C62" s="121">
        <f t="shared" ref="C62:C65" ca="1" si="9">D62/$D$65</f>
        <v>0</v>
      </c>
      <c r="D62" s="136">
        <f ca="1">IF(C22&lt;D22,D22-C22,0)</f>
        <v>0</v>
      </c>
      <c r="E62" s="121" t="str">
        <f ca="1">IF(C62=0,"",CONCATENATE(B62,", ",TEXT(D62,"[h]")))</f>
        <v/>
      </c>
    </row>
    <row r="63" spans="2:14">
      <c r="B63" s="87" t="s">
        <v>139</v>
      </c>
      <c r="C63" s="121">
        <f t="shared" ca="1" si="9"/>
        <v>0.48619631901840488</v>
      </c>
      <c r="D63" s="136">
        <f ca="1">IF(C22&gt;D22,C22-D22,0)</f>
        <v>10.432962678936606</v>
      </c>
      <c r="E63" s="121" t="str">
        <f ca="1">IF(C63=0,"",CONCATENATE(B63,", ",TEXT(D63,"[h]")))</f>
        <v>Extra Undone, 250</v>
      </c>
    </row>
    <row r="64" spans="2:14">
      <c r="B64" s="87" t="s">
        <v>12</v>
      </c>
      <c r="C64" s="121">
        <f t="shared" ca="1" si="9"/>
        <v>0.51380368098159512</v>
      </c>
      <c r="D64" s="136">
        <f ca="1">D65-D61-D63</f>
        <v>11.025370654396729</v>
      </c>
      <c r="E64" s="121" t="str">
        <f ca="1">IF(C64=0,"",CONCATENATE(B64,", ",TEXT(D64,"[h]")))</f>
        <v>Undone, 264</v>
      </c>
    </row>
    <row r="65" spans="2:5">
      <c r="B65" s="87" t="s">
        <v>7</v>
      </c>
      <c r="C65" s="121">
        <f t="shared" si="9"/>
        <v>1</v>
      </c>
      <c r="D65" s="136">
        <f>'⏱ Input'!T4*('📊 Summary'!I10/24)</f>
        <v>21.458333333333336</v>
      </c>
      <c r="E65" s="121"/>
    </row>
    <row r="66" spans="2:5">
      <c r="C66" s="134"/>
      <c r="D66" s="135"/>
      <c r="E66" s="134"/>
    </row>
    <row r="67" spans="2:5">
      <c r="B67" s="120" t="s">
        <v>148</v>
      </c>
      <c r="C67" s="87"/>
      <c r="D67" s="87"/>
      <c r="E67" s="87"/>
    </row>
    <row r="68" spans="2:5">
      <c r="B68" s="87" t="s">
        <v>11</v>
      </c>
      <c r="C68" s="121">
        <f>D68/$D$72</f>
        <v>0</v>
      </c>
      <c r="D68" s="136">
        <f>D20</f>
        <v>0</v>
      </c>
      <c r="E68" s="121" t="str">
        <f>IF(C68=0,"",CONCATENATE(B68,", ",TEXT(D68,"[h]")))</f>
        <v/>
      </c>
    </row>
    <row r="69" spans="2:5">
      <c r="B69" s="87" t="s">
        <v>138</v>
      </c>
      <c r="C69" s="121">
        <f t="shared" ref="C69:C72" ca="1" si="10">D69/$D$72</f>
        <v>0</v>
      </c>
      <c r="D69" s="136">
        <f ca="1">IF(C20&lt;D20,D20-C20,0)</f>
        <v>0</v>
      </c>
      <c r="E69" s="121" t="str">
        <f ca="1">IF(C69=0,"",CONCATENATE(B69,", ",TEXT(D69,"[h]")))</f>
        <v/>
      </c>
    </row>
    <row r="70" spans="2:5">
      <c r="B70" s="87" t="s">
        <v>139</v>
      </c>
      <c r="C70" s="121">
        <f t="shared" ca="1" si="10"/>
        <v>0.48619631901840499</v>
      </c>
      <c r="D70" s="136">
        <f ca="1">IF(C20&gt;D20,C20-D20,0)</f>
        <v>14.290030106793914</v>
      </c>
      <c r="E70" s="121" t="str">
        <f ca="1">IF(C70=0,"",CONCATENATE(B70,", ",TEXT(D70,"[h]")))</f>
        <v>Extra Undone, 342</v>
      </c>
    </row>
    <row r="71" spans="2:5">
      <c r="B71" s="87" t="s">
        <v>12</v>
      </c>
      <c r="C71" s="121">
        <f t="shared" ca="1" si="10"/>
        <v>0.51380368098159501</v>
      </c>
      <c r="D71" s="136">
        <f ca="1">D72-D68-D70</f>
        <v>15.101451374687571</v>
      </c>
      <c r="E71" s="121" t="str">
        <f ca="1">IF(C71=0,"",CONCATENATE(B71,", ",TEXT(D71,"[h]")))</f>
        <v>Undone, 362</v>
      </c>
    </row>
    <row r="72" spans="2:5">
      <c r="B72" s="87" t="s">
        <v>7</v>
      </c>
      <c r="C72" s="121">
        <f t="shared" si="10"/>
        <v>1</v>
      </c>
      <c r="D72" s="136">
        <f t="shared" ref="D72" si="11">D58+D65</f>
        <v>29.391481481481485</v>
      </c>
      <c r="E72" s="121"/>
    </row>
    <row r="73" spans="2:5">
      <c r="C73" s="134"/>
      <c r="D73" s="135"/>
      <c r="E73" s="134"/>
    </row>
    <row r="74" spans="2:5">
      <c r="C74" s="134"/>
      <c r="D74" s="135"/>
      <c r="E74" s="134"/>
    </row>
    <row r="75" spans="2:5">
      <c r="C75" s="134"/>
      <c r="D75" s="135"/>
      <c r="E75" s="134"/>
    </row>
    <row r="77" spans="2:5">
      <c r="B77" s="125" t="s">
        <v>126</v>
      </c>
      <c r="C77" s="88" t="s">
        <v>128</v>
      </c>
    </row>
    <row r="78" spans="2:5">
      <c r="B78" s="126" t="s">
        <v>6</v>
      </c>
      <c r="C78" s="321">
        <v>103</v>
      </c>
    </row>
    <row r="79" spans="2:5">
      <c r="B79" s="126" t="s">
        <v>127</v>
      </c>
      <c r="C79" s="321">
        <v>103</v>
      </c>
    </row>
    <row r="80" spans="2:5" ht="15">
      <c r="B80"/>
      <c r="C80"/>
    </row>
    <row r="82" spans="2:3">
      <c r="B82" s="125" t="s">
        <v>126</v>
      </c>
      <c r="C82" s="88" t="s">
        <v>129</v>
      </c>
    </row>
    <row r="83" spans="2:3">
      <c r="B83" s="126" t="s">
        <v>6</v>
      </c>
      <c r="C83" s="321">
        <v>103</v>
      </c>
    </row>
    <row r="84" spans="2:3">
      <c r="B84" s="126" t="s">
        <v>127</v>
      </c>
      <c r="C84" s="321">
        <v>103</v>
      </c>
    </row>
    <row r="85" spans="2:3" ht="15">
      <c r="B85"/>
      <c r="C85"/>
    </row>
    <row r="87" spans="2:3">
      <c r="B87" s="125" t="s">
        <v>126</v>
      </c>
      <c r="C87" s="88" t="s">
        <v>131</v>
      </c>
    </row>
    <row r="88" spans="2:3">
      <c r="B88" s="126" t="s">
        <v>6</v>
      </c>
      <c r="C88" s="321">
        <v>103</v>
      </c>
    </row>
    <row r="89" spans="2:3">
      <c r="B89" s="126" t="s">
        <v>127</v>
      </c>
      <c r="C89" s="321">
        <v>103</v>
      </c>
    </row>
    <row r="90" spans="2:3" ht="15">
      <c r="B90"/>
      <c r="C90"/>
    </row>
    <row r="92" spans="2:3">
      <c r="B92" s="125" t="s">
        <v>126</v>
      </c>
      <c r="C92" s="88" t="s">
        <v>130</v>
      </c>
    </row>
    <row r="93" spans="2:3">
      <c r="B93" s="126" t="s">
        <v>6</v>
      </c>
      <c r="C93" s="321">
        <v>103</v>
      </c>
    </row>
    <row r="94" spans="2:3">
      <c r="B94" s="126" t="s">
        <v>127</v>
      </c>
      <c r="C94" s="321">
        <v>103</v>
      </c>
    </row>
    <row r="95" spans="2:3" ht="15">
      <c r="B95"/>
      <c r="C95"/>
    </row>
    <row r="97" spans="2:3">
      <c r="B97" s="125" t="s">
        <v>126</v>
      </c>
      <c r="C97" s="88" t="s">
        <v>132</v>
      </c>
    </row>
    <row r="98" spans="2:3">
      <c r="B98" s="126" t="s">
        <v>6</v>
      </c>
      <c r="C98" s="321">
        <v>103</v>
      </c>
    </row>
    <row r="99" spans="2:3">
      <c r="B99" s="126" t="s">
        <v>127</v>
      </c>
      <c r="C99" s="321">
        <v>103</v>
      </c>
    </row>
    <row r="100" spans="2:3" ht="15">
      <c r="B100"/>
      <c r="C100"/>
    </row>
  </sheetData>
  <mergeCells count="2">
    <mergeCell ref="B14:B15"/>
    <mergeCell ref="C14:E14"/>
  </mergeCells>
  <conditionalFormatting sqref="E16:E44">
    <cfRule type="cellIs" dxfId="3" priority="19" operator="lessThan">
      <formula>0</formula>
    </cfRule>
    <cfRule type="cellIs" dxfId="2" priority="20" operator="greaterThanOrEqual">
      <formula>0.0001</formula>
    </cfRule>
  </conditionalFormatting>
  <conditionalFormatting sqref="G16:G44">
    <cfRule type="cellIs" dxfId="1" priority="1" operator="lessThan">
      <formula>0</formula>
    </cfRule>
    <cfRule type="cellIs" dxfId="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2022-06-28T06:51:26Z</cp:lastPrinted>
  <dcterms:created xsi:type="dcterms:W3CDTF">2017-08-10T18:49:10Z</dcterms:created>
  <dcterms:modified xsi:type="dcterms:W3CDTF">2024-11-23T07:24:04Z</dcterms:modified>
</cp:coreProperties>
</file>